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lculator" sheetId="2" state="visible" r:id="rId4"/>
    <sheet name="Cash Flow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<sst xmlns="http://schemas.openxmlformats.org/spreadsheetml/2006/main" count="79" uniqueCount="79">
  <si>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 xml:space="preserve">Solar Payback Calculator</t>
  </si>
  <si>
    <t xml:space="preserve">Free companion tool to Chapter 8: Costs and Payback</t>
  </si>
  <si>
    <t xml:space="preserve">How to use it</t>
  </si>
  <si>
    <t xml:space="preserve">1. Go to the Calculator sheet. The 'My numbers' column is yours: enter your quote, tariff and location's production.</t>
  </si>
  <si>
    <t xml:space="preserve">2. The four country columns are the Chapter 8 case study (as at October 2026). Use the closest one as a starting point.</t>
  </si>
  <si>
    <t xml:space="preserve">3. Results appear at the bottom of the Calculator: payback, IRR, NPV and lifetime cost per kWh, side by side.</t>
  </si>
  <si>
    <t xml:space="preserve">4. The Cash Flow sheet shows the year-by-year detail and a chart of when each system pays for itself.</t>
  </si>
  <si>
    <t xml:space="preserve">Where to find your numbers</t>
  </si>
  <si>
    <t xml:space="preserve">Installed cost: your quote, after any discounts or rebates.   Tariff: your electricity bill (price per kWh, not including fixed charges).</t>
  </si>
  <si>
    <t xml:space="preserve">Yearly production per kW: free tools such as PVGIS (Europe, Africa, Asia) or PVWatts (worldwide); or ask your installer.</t>
  </si>
  <si>
    <t xml:space="preserve">Share of solar used at home: about 30–40% without a battery; 55–85% with a battery and good load shifting (Chapters 2 and 5).</t>
  </si>
  <si>
    <t xml:space="preserve">Colour key</t>
  </si>
  <si>
    <t xml:space="preserve">Yellow cells, blue text: you type here.   Grey cells: calculated.</t>
  </si>
  <si>
    <t xml:space="preserve">Important</t>
  </si>
  <si>
    <t xml:space="preserve">This is a planning estimate, not financial advice. Prices, tariffs and incentives change; check current figures before deciding.</t>
  </si>
  <si>
    <t xml:space="preserve">Calculator</t>
  </si>
  <si>
    <t xml:space="preserve">Enter your figures in 'My numbers'. Currency is whatever you use: just be consistent.</t>
  </si>
  <si>
    <t xml:space="preserve">My numbers</t>
  </si>
  <si>
    <t xml:space="preserve">South Africa</t>
  </si>
  <si>
    <t xml:space="preserve">Australia</t>
  </si>
  <si>
    <t xml:space="preserve">United Kingdom</t>
  </si>
  <si>
    <t xml:space="preserve">United States</t>
  </si>
  <si>
    <t xml:space="preserve">Your system</t>
  </si>
  <si>
    <t xml:space="preserve">Installed cost (after incentives)</t>
  </si>
  <si>
    <t xml:space="preserve">Your quote, after any rebates or discounts</t>
  </si>
  <si>
    <t xml:space="preserve">Solar array size (kW)</t>
  </si>
  <si>
    <t xml:space="preserve">Home use (kWh per day)</t>
  </si>
  <si>
    <t xml:space="preserve">From your Load Audit (Chapter 1), after Chapter 2's changes</t>
  </si>
  <si>
    <t xml:space="preserve">Location and prices</t>
  </si>
  <si>
    <t xml:space="preserve">Yearly production per kW (kWh/kW)</t>
  </si>
  <si>
    <t xml:space="preserve">PVGIS / PVWatts, or your installer</t>
  </si>
  <si>
    <t xml:space="preserve">Grid tariff (per kWh)</t>
  </si>
  <si>
    <t xml:space="preserve">Price per kWh on your bill</t>
  </si>
  <si>
    <t xml:space="preserve">Export rate (per kWh)</t>
  </si>
  <si>
    <t xml:space="preserve">What your supplier pays for exports (0 if none)</t>
  </si>
  <si>
    <t xml:space="preserve">Tariff increase per year</t>
  </si>
  <si>
    <t xml:space="preserve">Discount rate for NPV (what your money could earn)</t>
  </si>
  <si>
    <t xml:space="preserve">How you use your solar</t>
  </si>
  <si>
    <t xml:space="preserve">Share of solar used at home</t>
  </si>
  <si>
    <t xml:space="preserve">30–40% without battery; 55–85% with battery</t>
  </si>
  <si>
    <t xml:space="preserve">Share of solar exported</t>
  </si>
  <si>
    <t xml:space="preserve">Usually most of the rest; some is lost in the battery</t>
  </si>
  <si>
    <t xml:space="preserve">Long-term assumptions</t>
  </si>
  <si>
    <t xml:space="preserve">Panel output loss per year</t>
  </si>
  <si>
    <t xml:space="preserve">Maintenance per year (% of cost)</t>
  </si>
  <si>
    <t xml:space="preserve">Replacement allowance (% of cost)</t>
  </si>
  <si>
    <t xml:space="preserve">Inverter or battery replacement</t>
  </si>
  <si>
    <t xml:space="preserve">Replacement year</t>
  </si>
  <si>
    <t xml:space="preserve">Results</t>
  </si>
  <si>
    <t xml:space="preserve">Solar produced per year (kWh)</t>
  </si>
  <si>
    <t xml:space="preserve">Solar used at home per year (kWh)</t>
  </si>
  <si>
    <t xml:space="preserve">Solar exported per year (kWh)</t>
  </si>
  <si>
    <t xml:space="preserve">Share of home use covered by solar</t>
  </si>
  <si>
    <t xml:space="preserve">Savings in year 1</t>
  </si>
  <si>
    <t xml:space="preserve">Simple payback (cost ÷ year-1 savings), years</t>
  </si>
  <si>
    <t xml:space="preserve">Payback with tariff increases, years</t>
  </si>
  <si>
    <t xml:space="preserve">IRR (the 'interest rate' solar earns)</t>
  </si>
  <si>
    <t xml:space="preserve">NPV over 25 years</t>
  </si>
  <si>
    <t xml:space="preserve">Lifetime cost per kWh</t>
  </si>
  <si>
    <t xml:space="preserve">Lifetime cost per kWh as % of tariff</t>
  </si>
  <si>
    <t xml:space="preserve">Well below 100% = good value</t>
  </si>
  <si>
    <t xml:space="preserve">Cash Flow</t>
  </si>
  <si>
    <t xml:space="preserve">Year-by-year savings and net position for each column of the Calculator (each in its own currency).</t>
  </si>
  <si>
    <t xml:space="preserve">Year</t>
  </si>
  <si>
    <t xml:space="preserve">My numbers: Net saving</t>
  </si>
  <si>
    <t xml:space="preserve">My numbers: Cumulative</t>
  </si>
  <si>
    <t xml:space="preserve">My numbers: Net position (% of cost)</t>
  </si>
  <si>
    <t xml:space="preserve">South Africa: Net saving</t>
  </si>
  <si>
    <t xml:space="preserve">South Africa: Cumulative</t>
  </si>
  <si>
    <t xml:space="preserve">South Africa: Net position (% of cost)</t>
  </si>
  <si>
    <t xml:space="preserve">Australia: Net saving</t>
  </si>
  <si>
    <t xml:space="preserve">Australia: Cumulative</t>
  </si>
  <si>
    <t xml:space="preserve">Australia: Net position (% of cost)</t>
  </si>
  <si>
    <t xml:space="preserve">United Kingdom: Net saving</t>
  </si>
  <si>
    <t xml:space="preserve">United Kingdom: Cumulative</t>
  </si>
  <si>
    <t xml:space="preserve">United Kingdom: Net position (% of cost)</t>
  </si>
  <si>
    <t xml:space="preserve">United States: Net saving</t>
  </si>
  <si>
    <t xml:space="preserve">United States: Cumulative</t>
  </si>
  <si>
    <t xml:space="preserve">United States: Net position (% of cost)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</si>
</sst>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"/>
    <numFmt numFmtId="167" formatCode="0.0000"/>
    <numFmt numFmtId="168" formatCode="0.0%"/>
    <numFmt numFmtId="169" formatCode="0%"/>
    <numFmt numFmtId="170" formatCode="0"/>
    <numFmt numFmtId="171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5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5F5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5F5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5F5B"/>
        <bgColor rgb="FF555555"/>
      </patternFill>
    </fill>
    <fill>
      <patternFill patternType="solid">
        <fgColor rgb="FFE3F1EF"/>
        <bgColor rgb="FFF3F5F5"/>
      </patternFill>
    </fill>
    <fill>
      <patternFill patternType="solid">
        <fgColor rgb="FFFFF6D5"/>
        <bgColor rgb="FFF3F5F5"/>
      </patternFill>
    </fill>
    <fill>
      <patternFill patternType="solid">
        <fgColor rgb="FFF3F5F5"/>
        <bgColor rgb="FFE3F1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78787"/>
      <rgbColor rgb="FF9999FF"/>
      <rgbColor rgb="FFBE4B48"/>
      <rgbColor rgb="FFFFF6D5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CCFFCC"/>
      <rgbColor rgb="FFFFFF99"/>
      <rgbColor rgb="FF99CCFF"/>
      <rgbColor rgb="FFFF99CC"/>
      <rgbColor rgb="FFCC99FF"/>
      <rgbColor rgb="FFFFCC99"/>
      <rgbColor rgb="FF4A7EBB"/>
      <rgbColor rgb="FF46AAC4"/>
      <rgbColor rgb="FF98B855"/>
      <rgbColor rgb="FFFFCC00"/>
      <rgbColor rgb="FFFF9900"/>
      <rgbColor rgb="FFFF6600"/>
      <rgbColor rgb="FF7D5FA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position as % of system cost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'Cash Flow'!D4</c:f>
              <c:strCache>
                <c:ptCount val="1"/>
                <c:pt idx="0">
                  <c:v>My numbers: Net position (% of cost)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Flow'!$A$5:$A$20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strCache>
            </c:strRef>
          </c:cat>
          <c:val>
            <c:numRef>
              <c:f>'Cash Flow'!$D$5:$D$20</c:f>
              <c:numCache>
                <c:formatCode>General</c:formatCode>
                <c:ptCount val="16"/>
              </c:numCache>
            </c:numRef>
          </c:val>
          <c:smooth val="1"/>
        </c:ser>
        <c:ser>
          <c:idx val="1"/>
          <c:order val="1"/>
          <c:tx>
            <c:strRef>
              <c:f>'Cash Flow'!G4</c:f>
              <c:strCache>
                <c:ptCount val="1"/>
                <c:pt idx="0">
                  <c:v>South Africa: Net position (% of cost)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Flow'!$A$5:$A$20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strCache>
            </c:strRef>
          </c:cat>
          <c:val>
            <c:numRef>
              <c:f>'Cash Flow'!$G$5:$G$20</c:f>
              <c:numCache>
                <c:formatCode>0%</c:formatCode>
                <c:ptCount val="16"/>
                <c:pt idx="0">
                  <c:v>-1</c:v>
                </c:pt>
                <c:pt idx="1">
                  <c:v>-0.770623533</c:v>
                </c:pt>
                <c:pt idx="2">
                  <c:v>-0.5237625815618</c:v>
                </c:pt>
                <c:pt idx="3">
                  <c:v>-0.25811280314631</c:v>
                </c:pt>
                <c:pt idx="4">
                  <c:v>0.0277274487389749</c:v>
                </c:pt>
                <c:pt idx="5">
                  <c:v>0.335264383414903</c:v>
                </c:pt>
                <c:pt idx="6">
                  <c:v>0.666116573417654</c:v>
                </c:pt>
                <c:pt idx="7">
                  <c:v>1.02202333679461</c:v>
                </c:pt>
                <c:pt idx="8">
                  <c:v>1.40485374471949</c:v>
                </c:pt>
                <c:pt idx="9">
                  <c:v>1.81661630107556</c:v>
                </c:pt>
                <c:pt idx="10">
                  <c:v>2.2594693441358</c:v>
                </c:pt>
                <c:pt idx="11">
                  <c:v>2.73573222420833</c:v>
                </c:pt>
                <c:pt idx="12">
                  <c:v>3.24789731513427</c:v>
                </c:pt>
                <c:pt idx="13">
                  <c:v>3.54864292184329</c:v>
                </c:pt>
                <c:pt idx="14">
                  <c:v>4.1408471508128</c:v>
                </c:pt>
                <c:pt idx="15">
                  <c:v>4.77760281526344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'Cash Flow'!J4</c:f>
              <c:strCache>
                <c:ptCount val="1"/>
                <c:pt idx="0">
                  <c:v>Australia: Net position (% of cost)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Flow'!$A$5:$A$20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strCache>
            </c:strRef>
          </c:cat>
          <c:val>
            <c:numRef>
              <c:f>'Cash Flow'!$J$5:$J$20</c:f>
              <c:numCache>
                <c:formatCode>0%</c:formatCode>
                <c:ptCount val="16"/>
                <c:pt idx="0">
                  <c:v>-1</c:v>
                </c:pt>
                <c:pt idx="1">
                  <c:v>-0.78436519826087</c:v>
                </c:pt>
                <c:pt idx="2">
                  <c:v>-0.563247621698522</c:v>
                </c:pt>
                <c:pt idx="3">
                  <c:v>-0.3365110233586</c:v>
                </c:pt>
                <c:pt idx="4">
                  <c:v>-0.104015770549931</c:v>
                </c:pt>
                <c:pt idx="5">
                  <c:v>0.134381239291034</c:v>
                </c:pt>
                <c:pt idx="6">
                  <c:v>0.378826664826547</c:v>
                </c:pt>
                <c:pt idx="7">
                  <c:v>0.629470809186617</c:v>
                </c:pt>
                <c:pt idx="8">
                  <c:v>0.886467710534035</c:v>
                </c:pt>
                <c:pt idx="9">
                  <c:v>1.14997523487994</c:v>
                </c:pt>
                <c:pt idx="10">
                  <c:v>1.42015517120583</c:v>
                </c:pt>
                <c:pt idx="11">
                  <c:v>1.69717332894943</c:v>
                </c:pt>
                <c:pt idx="12">
                  <c:v>1.98119963791295</c:v>
                </c:pt>
                <c:pt idx="13">
                  <c:v>2.02240825065422</c:v>
                </c:pt>
                <c:pt idx="14">
                  <c:v>2.32097764742211</c:v>
                </c:pt>
                <c:pt idx="15">
                  <c:v>2.62709074369968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'Cash Flow'!M4</c:f>
              <c:strCache>
                <c:ptCount val="1"/>
                <c:pt idx="0">
                  <c:v>United Kingdom: Net position (% of cost)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Flow'!$A$5:$A$20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strCache>
            </c:strRef>
          </c:cat>
          <c:val>
            <c:numRef>
              <c:f>'Cash Flow'!$M$5:$M$20</c:f>
              <c:numCache>
                <c:formatCode>0%</c:formatCode>
                <c:ptCount val="16"/>
                <c:pt idx="0">
                  <c:v>-1</c:v>
                </c:pt>
                <c:pt idx="1">
                  <c:v>-0.8806770528</c:v>
                </c:pt>
                <c:pt idx="2">
                  <c:v>-0.75826468036208</c:v>
                </c:pt>
                <c:pt idx="3">
                  <c:v>-0.632686110469078</c:v>
                </c:pt>
                <c:pt idx="4">
                  <c:v>-0.503862663114234</c:v>
                </c:pt>
                <c:pt idx="5">
                  <c:v>-0.371713703092623</c:v>
                </c:pt>
                <c:pt idx="6">
                  <c:v>-0.236156591414475</c:v>
                </c:pt>
                <c:pt idx="7">
                  <c:v>-0.0971066355111245</c:v>
                </c:pt>
                <c:pt idx="8">
                  <c:v>0.0455229617964241</c:v>
                </c:pt>
                <c:pt idx="9">
                  <c:v>0.191821154597065</c:v>
                </c:pt>
                <c:pt idx="10">
                  <c:v>0.341879107488802</c:v>
                </c:pt>
                <c:pt idx="11">
                  <c:v>0.495790250509899</c:v>
                </c:pt>
                <c:pt idx="12">
                  <c:v>0.65365033543507</c:v>
                </c:pt>
                <c:pt idx="13">
                  <c:v>0.565557493470632</c:v>
                </c:pt>
                <c:pt idx="14">
                  <c:v>0.731612294383377</c:v>
                </c:pt>
                <c:pt idx="15">
                  <c:v>0.901917807098804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'Cash Flow'!P4</c:f>
              <c:strCache>
                <c:ptCount val="1"/>
                <c:pt idx="0">
                  <c:v>United States: Net position (% of cost)</c:v>
                </c:pt>
              </c:strCache>
            </c:strRef>
          </c:tx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Flow'!$A$5:$A$20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strCache>
            </c:strRef>
          </c:cat>
          <c:val>
            <c:numRef>
              <c:f>'Cash Flow'!$P$5:$P$20</c:f>
              <c:numCache>
                <c:formatCode>0%</c:formatCode>
                <c:ptCount val="16"/>
                <c:pt idx="0">
                  <c:v>-1</c:v>
                </c:pt>
                <c:pt idx="1">
                  <c:v>-0.954747871219355</c:v>
                </c:pt>
                <c:pt idx="2">
                  <c:v>-0.908246977038511</c:v>
                </c:pt>
                <c:pt idx="3">
                  <c:v>-0.860466285637273</c:v>
                </c:pt>
                <c:pt idx="4">
                  <c:v>-0.811373994054714</c:v>
                </c:pt>
                <c:pt idx="5">
                  <c:v>-0.760937509026328</c:v>
                </c:pt>
                <c:pt idx="6">
                  <c:v>-0.709123427344987</c:v>
                </c:pt>
                <c:pt idx="7">
                  <c:v>-0.655897515733865</c:v>
                </c:pt>
                <c:pt idx="8">
                  <c:v>-0.601224690219206</c:v>
                </c:pt>
                <c:pt idx="9">
                  <c:v>-0.545068994990508</c:v>
                </c:pt>
                <c:pt idx="10">
                  <c:v>-0.487393580735377</c:v>
                </c:pt>
                <c:pt idx="11">
                  <c:v>-0.428160682436006</c:v>
                </c:pt>
                <c:pt idx="12">
                  <c:v>-0.367331596613896</c:v>
                </c:pt>
                <c:pt idx="13">
                  <c:v>-0.554866658009106</c:v>
                </c:pt>
                <c:pt idx="14">
                  <c:v>-0.490725215679987</c:v>
                </c:pt>
                <c:pt idx="15">
                  <c:v>-0.42486560850899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3208689"/>
        <c:axId val="59655673"/>
      </c:lineChart>
      <c:catAx>
        <c:axId val="632086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655673"/>
        <c:crosses val="autoZero"/>
        <c:auto val="1"/>
        <c:lblAlgn val="ctr"/>
        <c:lblOffset val="100"/>
        <c:noMultiLvlLbl val="0"/>
      </c:catAx>
      <c:valAx>
        <c:axId val="596556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 of cost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20868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0</xdr:colOff>
      <xdr:row>2</xdr:row>
      <xdr:rowOff>131040</xdr:rowOff>
    </xdr:from>
    <xdr:to>
      <xdr:col>27</xdr:col>
      <xdr:colOff>364680</xdr:colOff>
      <xdr:row>17</xdr:row>
      <xdr:rowOff>151200</xdr:rowOff>
    </xdr:to>
    <xdr:graphicFrame>
      <xdr:nvGraphicFramePr>
        <xdr:cNvPr id="0" name="Chart 1"/>
        <xdr:cNvGraphicFramePr/>
      </xdr:nvGraphicFramePr>
      <xdr:xfrm>
        <a:off x="14967720" y="5716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7"/>
    <col collapsed="false" customWidth="true" hidden="false" outlineLevel="0" max="7" min="7" style="0" width="50"/>
  </cols>
  <sheetData>
    <row r="1" customFormat="false" ht="19.7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5"/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 customFormat="false" ht="15" hidden="false" customHeight="false" outlineLevel="0" collapsed="false">
      <c r="A5" s="6" t="s">
        <v>22</v>
      </c>
      <c r="B5" s="7"/>
      <c r="C5" s="7"/>
      <c r="D5" s="7"/>
      <c r="E5" s="7"/>
      <c r="F5" s="7"/>
      <c r="G5" s="7"/>
    </row>
    <row r="6" customFormat="false" ht="15" hidden="false" customHeight="false" outlineLevel="0" collapsed="false">
      <c r="A6" s="8" t="s">
        <v>23</v>
      </c>
      <c r="B6" s="9"/>
      <c r="C6" s="9" t="n">
        <v>120000</v>
      </c>
      <c r="D6" s="9" t="n">
        <v>11500</v>
      </c>
      <c r="E6" s="9" t="n">
        <v>13000</v>
      </c>
      <c r="F6" s="9" t="n">
        <v>31000</v>
      </c>
      <c r="G6" s="2" t="s">
        <v>24</v>
      </c>
    </row>
    <row r="7" customFormat="false" ht="15" hidden="false" customHeight="false" outlineLevel="0" collapsed="false">
      <c r="A7" s="8" t="s">
        <v>25</v>
      </c>
      <c r="B7" s="10"/>
      <c r="C7" s="10" t="n">
        <v>7.8</v>
      </c>
      <c r="D7" s="10" t="n">
        <v>7.8</v>
      </c>
      <c r="E7" s="10" t="n">
        <v>7.8</v>
      </c>
      <c r="F7" s="10" t="n">
        <v>7.8</v>
      </c>
    </row>
    <row r="8" customFormat="false" ht="15" hidden="false" customHeight="false" outlineLevel="0" collapsed="false">
      <c r="A8" s="8" t="s">
        <v>26</v>
      </c>
      <c r="B8" s="10"/>
      <c r="C8" s="10" t="n">
        <v>21.8</v>
      </c>
      <c r="D8" s="10" t="n">
        <v>21.8</v>
      </c>
      <c r="E8" s="10" t="n">
        <v>21.8</v>
      </c>
      <c r="F8" s="10" t="n">
        <v>21.8</v>
      </c>
      <c r="G8" s="2" t="s">
        <v>27</v>
      </c>
    </row>
    <row r="9" customFormat="false" ht="15" hidden="false" customHeight="false" outlineLevel="0" collapsed="false">
      <c r="A9" s="6" t="s">
        <v>28</v>
      </c>
      <c r="B9" s="7"/>
      <c r="C9" s="7"/>
      <c r="D9" s="7"/>
      <c r="E9" s="7"/>
      <c r="F9" s="7"/>
      <c r="G9" s="7"/>
    </row>
    <row r="10" customFormat="false" ht="15" hidden="false" customHeight="false" outlineLevel="0" collapsed="false">
      <c r="A10" s="8" t="s">
        <v>29</v>
      </c>
      <c r="B10" s="9"/>
      <c r="C10" s="9" t="n">
        <v>1700</v>
      </c>
      <c r="D10" s="9" t="n">
        <v>1400</v>
      </c>
      <c r="E10" s="9" t="n">
        <v>900</v>
      </c>
      <c r="F10" s="9" t="n">
        <v>1350</v>
      </c>
      <c r="G10" s="2" t="s">
        <v>30</v>
      </c>
    </row>
    <row r="11" customFormat="false" ht="15" hidden="false" customHeight="false" outlineLevel="0" collapsed="false">
      <c r="A11" s="8" t="s">
        <v>31</v>
      </c>
      <c r="B11" s="11"/>
      <c r="C11" s="11" t="n">
        <v>3.83</v>
      </c>
      <c r="D11" s="11" t="n">
        <v>0.3314</v>
      </c>
      <c r="E11" s="11" t="n">
        <v>0.2632</v>
      </c>
      <c r="F11" s="11" t="n">
        <v>0.1802</v>
      </c>
      <c r="G11" s="2" t="s">
        <v>32</v>
      </c>
    </row>
    <row r="12" customFormat="false" ht="15" hidden="false" customHeight="false" outlineLevel="0" collapsed="false">
      <c r="A12" s="8" t="s">
        <v>33</v>
      </c>
      <c r="B12" s="11"/>
      <c r="C12" s="11" t="n">
        <v>0</v>
      </c>
      <c r="D12" s="11" t="n">
        <v>0.05</v>
      </c>
      <c r="E12" s="11" t="n">
        <v>0.12</v>
      </c>
      <c r="F12" s="11" t="n">
        <v>0.09</v>
      </c>
      <c r="G12" s="2" t="s">
        <v>34</v>
      </c>
    </row>
    <row r="13" customFormat="false" ht="15" hidden="false" customHeight="false" outlineLevel="0" collapsed="false">
      <c r="A13" s="8" t="s">
        <v>35</v>
      </c>
      <c r="B13" s="12" t="n">
        <v>0.05</v>
      </c>
      <c r="C13" s="12" t="n">
        <v>0.08</v>
      </c>
      <c r="D13" s="12" t="n">
        <v>0.03</v>
      </c>
      <c r="E13" s="12" t="n">
        <v>0.03</v>
      </c>
      <c r="F13" s="12" t="n">
        <v>0.03</v>
      </c>
    </row>
    <row r="14" customFormat="false" ht="15" hidden="false" customHeight="false" outlineLevel="0" collapsed="false">
      <c r="A14" s="8" t="s">
        <v>36</v>
      </c>
      <c r="B14" s="12" t="n">
        <v>0.06</v>
      </c>
      <c r="C14" s="12" t="n">
        <v>0.08</v>
      </c>
      <c r="D14" s="12" t="n">
        <v>0.04</v>
      </c>
      <c r="E14" s="12" t="n">
        <v>0.04</v>
      </c>
      <c r="F14" s="12" t="n">
        <v>0.04</v>
      </c>
    </row>
    <row r="15" customFormat="false" ht="15" hidden="false" customHeight="false" outlineLevel="0" collapsed="false">
      <c r="A15" s="6" t="s">
        <v>37</v>
      </c>
      <c r="B15" s="7"/>
      <c r="C15" s="7"/>
      <c r="D15" s="7"/>
      <c r="E15" s="7"/>
      <c r="F15" s="7"/>
      <c r="G15" s="7"/>
    </row>
    <row r="16" customFormat="false" ht="15" hidden="false" customHeight="false" outlineLevel="0" collapsed="false">
      <c r="A16" s="8" t="s">
        <v>38</v>
      </c>
      <c r="B16" s="13" t="n">
        <v>0.6</v>
      </c>
      <c r="C16" s="13" t="n">
        <v>0.5538</v>
      </c>
      <c r="D16" s="13" t="n">
        <v>0.6525</v>
      </c>
      <c r="E16" s="13" t="n">
        <v>0.7974</v>
      </c>
      <c r="F16" s="13" t="n">
        <v>0.6687</v>
      </c>
      <c r="G16" s="2" t="s">
        <v>39</v>
      </c>
    </row>
    <row r="17" customFormat="false" ht="15" hidden="false" customHeight="false" outlineLevel="0" collapsed="false">
      <c r="A17" s="8" t="s">
        <v>40</v>
      </c>
      <c r="B17" s="13" t="n">
        <v>0.37</v>
      </c>
      <c r="C17" s="13" t="n">
        <v>0.4263</v>
      </c>
      <c r="D17" s="13" t="n">
        <v>0.3223</v>
      </c>
      <c r="E17" s="13" t="n">
        <v>0.1696</v>
      </c>
      <c r="F17" s="13" t="n">
        <v>0.3049</v>
      </c>
      <c r="G17" s="2" t="s">
        <v>41</v>
      </c>
    </row>
    <row r="18" customFormat="false" ht="15" hidden="false" customHeight="false" outlineLevel="0" collapsed="false">
      <c r="A18" s="6" t="s">
        <v>42</v>
      </c>
      <c r="B18" s="7"/>
      <c r="C18" s="7"/>
      <c r="D18" s="7"/>
      <c r="E18" s="7"/>
      <c r="F18" s="7"/>
      <c r="G18" s="7"/>
    </row>
    <row r="19" customFormat="false" ht="15" hidden="false" customHeight="false" outlineLevel="0" collapsed="false">
      <c r="A19" s="8" t="s">
        <v>43</v>
      </c>
      <c r="B19" s="12" t="n">
        <v>0.005</v>
      </c>
      <c r="C19" s="12" t="n">
        <v>0.005</v>
      </c>
      <c r="D19" s="12" t="n">
        <v>0.005</v>
      </c>
      <c r="E19" s="12" t="n">
        <v>0.005</v>
      </c>
      <c r="F19" s="12" t="n">
        <v>0.005</v>
      </c>
    </row>
    <row r="20" customFormat="false" ht="15" hidden="false" customHeight="false" outlineLevel="0" collapsed="false">
      <c r="A20" s="8" t="s">
        <v>44</v>
      </c>
      <c r="B20" s="12" t="n">
        <v>0.005</v>
      </c>
      <c r="C20" s="12" t="n">
        <v>0.005</v>
      </c>
      <c r="D20" s="12" t="n">
        <v>0.005</v>
      </c>
      <c r="E20" s="12" t="n">
        <v>0.005</v>
      </c>
      <c r="F20" s="12" t="n">
        <v>0.005</v>
      </c>
    </row>
    <row r="21" customFormat="false" ht="15" hidden="false" customHeight="false" outlineLevel="0" collapsed="false">
      <c r="A21" s="8" t="s">
        <v>45</v>
      </c>
      <c r="B21" s="13" t="n">
        <v>0.25</v>
      </c>
      <c r="C21" s="13" t="n">
        <v>0.25</v>
      </c>
      <c r="D21" s="13" t="n">
        <v>0.25</v>
      </c>
      <c r="E21" s="13" t="n">
        <v>0.25</v>
      </c>
      <c r="F21" s="13" t="n">
        <v>0.25</v>
      </c>
      <c r="G21" s="2" t="s">
        <v>46</v>
      </c>
    </row>
    <row r="22" customFormat="false" ht="15" hidden="false" customHeight="false" outlineLevel="0" collapsed="false">
      <c r="A22" s="8" t="s">
        <v>47</v>
      </c>
      <c r="B22" s="14" t="n">
        <v>13</v>
      </c>
      <c r="C22" s="14" t="n">
        <v>13</v>
      </c>
      <c r="D22" s="14" t="n">
        <v>13</v>
      </c>
      <c r="E22" s="14" t="n">
        <v>13</v>
      </c>
      <c r="F22" s="14" t="n">
        <v>13</v>
      </c>
    </row>
    <row r="23" customFormat="false" ht="15" hidden="false" customHeight="false" outlineLevel="0" collapsed="false">
      <c r="A23" s="6" t="s">
        <v>48</v>
      </c>
      <c r="B23" s="7"/>
      <c r="C23" s="7"/>
      <c r="D23" s="7"/>
      <c r="E23" s="7"/>
      <c r="F23" s="7"/>
      <c r="G23" s="7"/>
    </row>
    <row r="24" customFormat="false" ht="15" hidden="false" customHeight="false" outlineLevel="0" collapsed="false">
      <c r="A24" s="8" t="s">
        <v>49</v>
      </c>
      <c r="B24" s="15" t="str">
        <f aca="false">IF(N(B7)=0,"",B7*B10)</f>
        <v/>
      </c>
      <c r="C24" s="15" t="n">
        <f aca="false">IF(N(C7)=0,"",C7*C10)</f>
        <v>13260</v>
      </c>
      <c r="D24" s="15" t="n">
        <f aca="false">IF(N(D7)=0,"",D7*D10)</f>
        <v>10920</v>
      </c>
      <c r="E24" s="15" t="n">
        <f aca="false">IF(N(E7)=0,"",E7*E10)</f>
        <v>7020</v>
      </c>
      <c r="F24" s="15" t="n">
        <f aca="false">IF(N(F7)=0,"",F7*F10)</f>
        <v>10530</v>
      </c>
    </row>
    <row r="25" customFormat="false" ht="15" hidden="false" customHeight="false" outlineLevel="0" collapsed="false">
      <c r="A25" s="8" t="s">
        <v>50</v>
      </c>
      <c r="B25" s="15" t="str">
        <f aca="false">IF(B24="","",MIN(B24*B16,B8*365))</f>
        <v/>
      </c>
      <c r="C25" s="15" t="n">
        <f aca="false">IF(C24="","",MIN(C24*C16,C8*365))</f>
        <v>7343.388</v>
      </c>
      <c r="D25" s="15" t="n">
        <f aca="false">IF(D24="","",MIN(D24*D16,D8*365))</f>
        <v>7125.3</v>
      </c>
      <c r="E25" s="15" t="n">
        <f aca="false">IF(E24="","",MIN(E24*E16,E8*365))</f>
        <v>5597.748</v>
      </c>
      <c r="F25" s="15" t="n">
        <f aca="false">IF(F24="","",MIN(F24*F16,F8*365))</f>
        <v>7041.411</v>
      </c>
    </row>
    <row r="26" customFormat="false" ht="15" hidden="false" customHeight="false" outlineLevel="0" collapsed="false">
      <c r="A26" s="8" t="s">
        <v>51</v>
      </c>
      <c r="B26" s="15" t="str">
        <f aca="false">IF(B24="","",B24*B17)</f>
        <v/>
      </c>
      <c r="C26" s="15" t="n">
        <f aca="false">IF(C24="","",C24*C17)</f>
        <v>5652.738</v>
      </c>
      <c r="D26" s="15" t="n">
        <f aca="false">IF(D24="","",D24*D17)</f>
        <v>3519.516</v>
      </c>
      <c r="E26" s="15" t="n">
        <f aca="false">IF(E24="","",E24*E17)</f>
        <v>1190.592</v>
      </c>
      <c r="F26" s="15" t="n">
        <f aca="false">IF(F24="","",F24*F17)</f>
        <v>3210.597</v>
      </c>
    </row>
    <row r="27" customFormat="false" ht="15" hidden="false" customHeight="false" outlineLevel="0" collapsed="false">
      <c r="A27" s="8" t="s">
        <v>52</v>
      </c>
      <c r="B27" s="16" t="str">
        <f aca="false">IF(OR(B25="",N(B8)=0),"",B25/(B8*365))</f>
        <v/>
      </c>
      <c r="C27" s="16" t="n">
        <f aca="false">IF(OR(C25="",N(C8)=0),"",C25/(C8*365))</f>
        <v>0.922884001508106</v>
      </c>
      <c r="D27" s="16" t="n">
        <f aca="false">IF(OR(D25="",N(D8)=0),"",D25/(D8*365))</f>
        <v>0.895475681789619</v>
      </c>
      <c r="E27" s="16" t="n">
        <f aca="false">IF(OR(E25="",N(E8)=0),"",E25/(E8*365))</f>
        <v>0.703499811486741</v>
      </c>
      <c r="F27" s="16" t="n">
        <f aca="false">IF(OR(F25="",N(F8)=0),"",F25/(F8*365))</f>
        <v>0.884932889279879</v>
      </c>
    </row>
    <row r="28" customFormat="false" ht="15" hidden="false" customHeight="false" outlineLevel="0" collapsed="false">
      <c r="A28" s="8" t="s">
        <v>53</v>
      </c>
      <c r="B28" s="15" t="str">
        <f aca="false">IF(B24="","",B25*B11+B26*B12)</f>
        <v/>
      </c>
      <c r="C28" s="15" t="n">
        <f aca="false">IF(C24="","",C25*C11+C26*C12)</f>
        <v>28125.17604</v>
      </c>
      <c r="D28" s="15" t="n">
        <f aca="false">IF(D24="","",D25*D11+D26*D12)</f>
        <v>2537.30022</v>
      </c>
      <c r="E28" s="15" t="n">
        <f aca="false">IF(E24="","",E25*E11+E26*E12)</f>
        <v>1616.1983136</v>
      </c>
      <c r="F28" s="15" t="n">
        <f aca="false">IF(F24="","",F25*F11+F26*F12)</f>
        <v>1557.8159922</v>
      </c>
    </row>
    <row r="29" customFormat="false" ht="15" hidden="false" customHeight="false" outlineLevel="0" collapsed="false">
      <c r="A29" s="8" t="s">
        <v>54</v>
      </c>
      <c r="B29" s="17" t="str">
        <f aca="false">IF(N(B28)=0,"",B6/B28)</f>
        <v/>
      </c>
      <c r="C29" s="17" t="n">
        <f aca="false">IF(N(C28)=0,"",C6/C28)</f>
        <v>4.26663996091382</v>
      </c>
      <c r="D29" s="17" t="n">
        <f aca="false">IF(N(D28)=0,"",D6/D28)</f>
        <v>4.5323765431274</v>
      </c>
      <c r="E29" s="17" t="n">
        <f aca="false">IF(N(E28)=0,"",E6/E28)</f>
        <v>8.04356735841603</v>
      </c>
      <c r="F29" s="17" t="n">
        <f aca="false">IF(N(F28)=0,"",F6/F28)</f>
        <v>19.8996544875758</v>
      </c>
    </row>
    <row r="30" customFormat="false" ht="15" hidden="false" customHeight="false" outlineLevel="0" collapsed="false">
      <c r="A30" s="8" t="s">
        <v>55</v>
      </c>
      <c r="B30" s="17" t="str">
        <f aca="false">IF(B24="","",IF(AND('Cash Flow'!C5&lt;0,'Cash Flow'!C6&gt;=0),0+(-'Cash Flow'!C5)/'Cash Flow'!B6,IF(AND('Cash Flow'!C6&lt;0,'Cash Flow'!C7&gt;=0),1+(-'Cash Flow'!C6)/'Cash Flow'!B7,IF(AND('Cash Flow'!C7&lt;0,'Cash Flow'!C8&gt;=0),2+(-'Cash Flow'!C7)/'Cash Flow'!B8,IF(AND('Cash Flow'!C8&lt;0,'Cash Flow'!C9&gt;=0),3+(-'Cash Flow'!C8)/'Cash Flow'!B9,IF(AND('Cash Flow'!C9&lt;0,'Cash Flow'!C10&gt;=0),4+(-'Cash Flow'!C9)/'Cash Flow'!B10,IF(AND('Cash Flow'!C10&lt;0,'Cash Flow'!C11&gt;=0),5+(-'Cash Flow'!C10)/'Cash Flow'!B11,IF(AND('Cash Flow'!C11&lt;0,'Cash Flow'!C12&gt;=0),6+(-'Cash Flow'!C11)/'Cash Flow'!B12,IF(AND('Cash Flow'!C12&lt;0,'Cash Flow'!C13&gt;=0),7+(-'Cash Flow'!C12)/'Cash Flow'!B13,IF(AND('Cash Flow'!C13&lt;0,'Cash Flow'!C14&gt;=0),8+(-'Cash Flow'!C13)/'Cash Flow'!B14,IF(AND('Cash Flow'!C14&lt;0,'Cash Flow'!C15&gt;=0),9+(-'Cash Flow'!C14)/'Cash Flow'!B15,IF(AND('Cash Flow'!C15&lt;0,'Cash Flow'!C16&gt;=0),10+(-'Cash Flow'!C15)/'Cash Flow'!B16,IF(AND('Cash Flow'!C16&lt;0,'Cash Flow'!C17&gt;=0),11+(-'Cash Flow'!C16)/'Cash Flow'!B17,IF(AND('Cash Flow'!C17&lt;0,'Cash Flow'!C18&gt;=0),12+(-'Cash Flow'!C17)/'Cash Flow'!B18,IF(AND('Cash Flow'!C18&lt;0,'Cash Flow'!C19&gt;=0),13+(-'Cash Flow'!C18)/'Cash Flow'!B19,IF(AND('Cash Flow'!C19&lt;0,'Cash Flow'!C20&gt;=0),14+(-'Cash Flow'!C19)/'Cash Flow'!B20,IF(AND('Cash Flow'!C20&lt;0,'Cash Flow'!C21&gt;=0),15+(-'Cash Flow'!C20)/'Cash Flow'!B21,IF(AND('Cash Flow'!C21&lt;0,'Cash Flow'!C22&gt;=0),16+(-'Cash Flow'!C21)/'Cash Flow'!B22,IF(AND('Cash Flow'!C22&lt;0,'Cash Flow'!C23&gt;=0),17+(-'Cash Flow'!C22)/'Cash Flow'!B23,IF(AND('Cash Flow'!C23&lt;0,'Cash Flow'!C24&gt;=0),18+(-'Cash Flow'!C23)/'Cash Flow'!B24,IF(AND('Cash Flow'!C24&lt;0,'Cash Flow'!C25&gt;=0),19+(-'Cash Flow'!C24)/'Cash Flow'!B25,IF(AND('Cash Flow'!C25&lt;0,'Cash Flow'!C26&gt;=0),20+(-'Cash Flow'!C25)/'Cash Flow'!B26,IF(AND('Cash Flow'!C26&lt;0,'Cash Flow'!C27&gt;=0),21+(-'Cash Flow'!C26)/'Cash Flow'!B27,IF(AND('Cash Flow'!C27&lt;0,'Cash Flow'!C28&gt;=0),22+(-'Cash Flow'!C27)/'Cash Flow'!B28,IF(AND('Cash Flow'!C28&lt;0,'Cash Flow'!C29&gt;=0),23+(-'Cash Flow'!C28)/'Cash Flow'!B29,IF(AND('Cash Flow'!C29&lt;0,'Cash Flow'!C30&gt;=0),24+(-'Cash Flow'!C29)/'Cash Flow'!B30,"Over 25 years"))))))))))))))))))))))))))</f>
        <v/>
      </c>
      <c r="C30" s="17" t="n">
        <f aca="false">IF(C24="","",IF(AND('Cash Flow'!F5&lt;0,'Cash Flow'!F6&gt;=0),0+(-'Cash Flow'!F5)/'Cash Flow'!E6,IF(AND('Cash Flow'!F6&lt;0,'Cash Flow'!F7&gt;=0),1+(-'Cash Flow'!F6)/'Cash Flow'!E7,IF(AND('Cash Flow'!F7&lt;0,'Cash Flow'!F8&gt;=0),2+(-'Cash Flow'!F7)/'Cash Flow'!E8,IF(AND('Cash Flow'!F8&lt;0,'Cash Flow'!F9&gt;=0),3+(-'Cash Flow'!F8)/'Cash Flow'!E9,IF(AND('Cash Flow'!F9&lt;0,'Cash Flow'!F10&gt;=0),4+(-'Cash Flow'!F9)/'Cash Flow'!E10,IF(AND('Cash Flow'!F10&lt;0,'Cash Flow'!F11&gt;=0),5+(-'Cash Flow'!F10)/'Cash Flow'!E11,IF(AND('Cash Flow'!F11&lt;0,'Cash Flow'!F12&gt;=0),6+(-'Cash Flow'!F11)/'Cash Flow'!E12,IF(AND('Cash Flow'!F12&lt;0,'Cash Flow'!F13&gt;=0),7+(-'Cash Flow'!F12)/'Cash Flow'!E13,IF(AND('Cash Flow'!F13&lt;0,'Cash Flow'!F14&gt;=0),8+(-'Cash Flow'!F13)/'Cash Flow'!E14,IF(AND('Cash Flow'!F14&lt;0,'Cash Flow'!F15&gt;=0),9+(-'Cash Flow'!F14)/'Cash Flow'!E15,IF(AND('Cash Flow'!F15&lt;0,'Cash Flow'!F16&gt;=0),10+(-'Cash Flow'!F15)/'Cash Flow'!E16,IF(AND('Cash Flow'!F16&lt;0,'Cash Flow'!F17&gt;=0),11+(-'Cash Flow'!F16)/'Cash Flow'!E17,IF(AND('Cash Flow'!F17&lt;0,'Cash Flow'!F18&gt;=0),12+(-'Cash Flow'!F17)/'Cash Flow'!E18,IF(AND('Cash Flow'!F18&lt;0,'Cash Flow'!F19&gt;=0),13+(-'Cash Flow'!F18)/'Cash Flow'!E19,IF(AND('Cash Flow'!F19&lt;0,'Cash Flow'!F20&gt;=0),14+(-'Cash Flow'!F19)/'Cash Flow'!E20,IF(AND('Cash Flow'!F20&lt;0,'Cash Flow'!F21&gt;=0),15+(-'Cash Flow'!F20)/'Cash Flow'!E21,IF(AND('Cash Flow'!F21&lt;0,'Cash Flow'!F22&gt;=0),16+(-'Cash Flow'!F21)/'Cash Flow'!E22,IF(AND('Cash Flow'!F22&lt;0,'Cash Flow'!F23&gt;=0),17+(-'Cash Flow'!F22)/'Cash Flow'!E23,IF(AND('Cash Flow'!F23&lt;0,'Cash Flow'!F24&gt;=0),18+(-'Cash Flow'!F23)/'Cash Flow'!E24,IF(AND('Cash Flow'!F24&lt;0,'Cash Flow'!F25&gt;=0),19+(-'Cash Flow'!F24)/'Cash Flow'!E25,IF(AND('Cash Flow'!F25&lt;0,'Cash Flow'!F26&gt;=0),20+(-'Cash Flow'!F25)/'Cash Flow'!E26,IF(AND('Cash Flow'!F26&lt;0,'Cash Flow'!F27&gt;=0),21+(-'Cash Flow'!F26)/'Cash Flow'!E27,IF(AND('Cash Flow'!F27&lt;0,'Cash Flow'!F28&gt;=0),22+(-'Cash Flow'!F27)/'Cash Flow'!E28,IF(AND('Cash Flow'!F28&lt;0,'Cash Flow'!F29&gt;=0),23+(-'Cash Flow'!F28)/'Cash Flow'!E29,IF(AND('Cash Flow'!F29&lt;0,'Cash Flow'!F30&gt;=0),24+(-'Cash Flow'!F29)/'Cash Flow'!E30,"Over 25 years"))))))))))))))))))))))))))</f>
        <v>3.90299669638515</v>
      </c>
      <c r="D30" s="17" t="n">
        <f aca="false">IF(D24="","",IF(AND('Cash Flow'!I5&lt;0,'Cash Flow'!I6&gt;=0),0+(-'Cash Flow'!I5)/'Cash Flow'!H6,IF(AND('Cash Flow'!I6&lt;0,'Cash Flow'!I7&gt;=0),1+(-'Cash Flow'!I6)/'Cash Flow'!H7,IF(AND('Cash Flow'!I7&lt;0,'Cash Flow'!I8&gt;=0),2+(-'Cash Flow'!I7)/'Cash Flow'!H8,IF(AND('Cash Flow'!I8&lt;0,'Cash Flow'!I9&gt;=0),3+(-'Cash Flow'!I8)/'Cash Flow'!H9,IF(AND('Cash Flow'!I9&lt;0,'Cash Flow'!I10&gt;=0),4+(-'Cash Flow'!I9)/'Cash Flow'!H10,IF(AND('Cash Flow'!I10&lt;0,'Cash Flow'!I11&gt;=0),5+(-'Cash Flow'!I10)/'Cash Flow'!H11,IF(AND('Cash Flow'!I11&lt;0,'Cash Flow'!I12&gt;=0),6+(-'Cash Flow'!I11)/'Cash Flow'!H12,IF(AND('Cash Flow'!I12&lt;0,'Cash Flow'!I13&gt;=0),7+(-'Cash Flow'!I12)/'Cash Flow'!H13,IF(AND('Cash Flow'!I13&lt;0,'Cash Flow'!I14&gt;=0),8+(-'Cash Flow'!I13)/'Cash Flow'!H14,IF(AND('Cash Flow'!I14&lt;0,'Cash Flow'!I15&gt;=0),9+(-'Cash Flow'!I14)/'Cash Flow'!H15,IF(AND('Cash Flow'!I15&lt;0,'Cash Flow'!I16&gt;=0),10+(-'Cash Flow'!I15)/'Cash Flow'!H16,IF(AND('Cash Flow'!I16&lt;0,'Cash Flow'!I17&gt;=0),11+(-'Cash Flow'!I16)/'Cash Flow'!H17,IF(AND('Cash Flow'!I17&lt;0,'Cash Flow'!I18&gt;=0),12+(-'Cash Flow'!I17)/'Cash Flow'!H18,IF(AND('Cash Flow'!I18&lt;0,'Cash Flow'!I19&gt;=0),13+(-'Cash Flow'!I18)/'Cash Flow'!H19,IF(AND('Cash Flow'!I19&lt;0,'Cash Flow'!I20&gt;=0),14+(-'Cash Flow'!I19)/'Cash Flow'!H20,IF(AND('Cash Flow'!I20&lt;0,'Cash Flow'!I21&gt;=0),15+(-'Cash Flow'!I20)/'Cash Flow'!H21,IF(AND('Cash Flow'!I21&lt;0,'Cash Flow'!I22&gt;=0),16+(-'Cash Flow'!I21)/'Cash Flow'!H22,IF(AND('Cash Flow'!I22&lt;0,'Cash Flow'!I23&gt;=0),17+(-'Cash Flow'!I22)/'Cash Flow'!H23,IF(AND('Cash Flow'!I23&lt;0,'Cash Flow'!I24&gt;=0),18+(-'Cash Flow'!I23)/'Cash Flow'!H24,IF(AND('Cash Flow'!I24&lt;0,'Cash Flow'!I25&gt;=0),19+(-'Cash Flow'!I24)/'Cash Flow'!H25,IF(AND('Cash Flow'!I25&lt;0,'Cash Flow'!I26&gt;=0),20+(-'Cash Flow'!I25)/'Cash Flow'!H26,IF(AND('Cash Flow'!I26&lt;0,'Cash Flow'!I27&gt;=0),21+(-'Cash Flow'!I26)/'Cash Flow'!H27,IF(AND('Cash Flow'!I27&lt;0,'Cash Flow'!I28&gt;=0),22+(-'Cash Flow'!I27)/'Cash Flow'!H28,IF(AND('Cash Flow'!I28&lt;0,'Cash Flow'!I29&gt;=0),23+(-'Cash Flow'!I28)/'Cash Flow'!H29,IF(AND('Cash Flow'!I29&lt;0,'Cash Flow'!I30&gt;=0),24+(-'Cash Flow'!I29)/'Cash Flow'!H30,"Over 25 years"))))))))))))))))))))))))))</f>
        <v>4.4363132348821</v>
      </c>
      <c r="E30" s="17" t="n">
        <f aca="false">IF(E24="","",IF(AND('Cash Flow'!L5&lt;0,'Cash Flow'!L6&gt;=0),0+(-'Cash Flow'!L5)/'Cash Flow'!K6,IF(AND('Cash Flow'!L6&lt;0,'Cash Flow'!L7&gt;=0),1+(-'Cash Flow'!L6)/'Cash Flow'!K7,IF(AND('Cash Flow'!L7&lt;0,'Cash Flow'!L8&gt;=0),2+(-'Cash Flow'!L7)/'Cash Flow'!K8,IF(AND('Cash Flow'!L8&lt;0,'Cash Flow'!L9&gt;=0),3+(-'Cash Flow'!L8)/'Cash Flow'!K9,IF(AND('Cash Flow'!L9&lt;0,'Cash Flow'!L10&gt;=0),4+(-'Cash Flow'!L9)/'Cash Flow'!K10,IF(AND('Cash Flow'!L10&lt;0,'Cash Flow'!L11&gt;=0),5+(-'Cash Flow'!L10)/'Cash Flow'!K11,IF(AND('Cash Flow'!L11&lt;0,'Cash Flow'!L12&gt;=0),6+(-'Cash Flow'!L11)/'Cash Flow'!K12,IF(AND('Cash Flow'!L12&lt;0,'Cash Flow'!L13&gt;=0),7+(-'Cash Flow'!L12)/'Cash Flow'!K13,IF(AND('Cash Flow'!L13&lt;0,'Cash Flow'!L14&gt;=0),8+(-'Cash Flow'!L13)/'Cash Flow'!K14,IF(AND('Cash Flow'!L14&lt;0,'Cash Flow'!L15&gt;=0),9+(-'Cash Flow'!L14)/'Cash Flow'!K15,IF(AND('Cash Flow'!L15&lt;0,'Cash Flow'!L16&gt;=0),10+(-'Cash Flow'!L15)/'Cash Flow'!K16,IF(AND('Cash Flow'!L16&lt;0,'Cash Flow'!L17&gt;=0),11+(-'Cash Flow'!L16)/'Cash Flow'!K17,IF(AND('Cash Flow'!L17&lt;0,'Cash Flow'!L18&gt;=0),12+(-'Cash Flow'!L17)/'Cash Flow'!K18,IF(AND('Cash Flow'!L18&lt;0,'Cash Flow'!L19&gt;=0),13+(-'Cash Flow'!L18)/'Cash Flow'!K19,IF(AND('Cash Flow'!L19&lt;0,'Cash Flow'!L20&gt;=0),14+(-'Cash Flow'!L19)/'Cash Flow'!K20,IF(AND('Cash Flow'!L20&lt;0,'Cash Flow'!L21&gt;=0),15+(-'Cash Flow'!L20)/'Cash Flow'!K21,IF(AND('Cash Flow'!L21&lt;0,'Cash Flow'!L22&gt;=0),16+(-'Cash Flow'!L21)/'Cash Flow'!K22,IF(AND('Cash Flow'!L22&lt;0,'Cash Flow'!L23&gt;=0),17+(-'Cash Flow'!L22)/'Cash Flow'!K23,IF(AND('Cash Flow'!L23&lt;0,'Cash Flow'!L24&gt;=0),18+(-'Cash Flow'!L23)/'Cash Flow'!K24,IF(AND('Cash Flow'!L24&lt;0,'Cash Flow'!L25&gt;=0),19+(-'Cash Flow'!L24)/'Cash Flow'!K25,IF(AND('Cash Flow'!L25&lt;0,'Cash Flow'!L26&gt;=0),20+(-'Cash Flow'!L25)/'Cash Flow'!K26,IF(AND('Cash Flow'!L26&lt;0,'Cash Flow'!L27&gt;=0),21+(-'Cash Flow'!L26)/'Cash Flow'!K27,IF(AND('Cash Flow'!L27&lt;0,'Cash Flow'!L28&gt;=0),22+(-'Cash Flow'!L27)/'Cash Flow'!K28,IF(AND('Cash Flow'!L28&lt;0,'Cash Flow'!L29&gt;=0),23+(-'Cash Flow'!L28)/'Cash Flow'!K29,IF(AND('Cash Flow'!L29&lt;0,'Cash Flow'!L30&gt;=0),24+(-'Cash Flow'!L29)/'Cash Flow'!K30,"Over 25 years"))))))))))))))))))))))))))</f>
        <v>7.68083088884936</v>
      </c>
      <c r="F30" s="17" t="n">
        <f aca="false">IF(F24="","",IF(AND('Cash Flow'!O5&lt;0,'Cash Flow'!O6&gt;=0),0+(-'Cash Flow'!O5)/'Cash Flow'!N6,IF(AND('Cash Flow'!O6&lt;0,'Cash Flow'!O7&gt;=0),1+(-'Cash Flow'!O6)/'Cash Flow'!N7,IF(AND('Cash Flow'!O7&lt;0,'Cash Flow'!O8&gt;=0),2+(-'Cash Flow'!O7)/'Cash Flow'!N8,IF(AND('Cash Flow'!O8&lt;0,'Cash Flow'!O9&gt;=0),3+(-'Cash Flow'!O8)/'Cash Flow'!N9,IF(AND('Cash Flow'!O9&lt;0,'Cash Flow'!O10&gt;=0),4+(-'Cash Flow'!O9)/'Cash Flow'!N10,IF(AND('Cash Flow'!O10&lt;0,'Cash Flow'!O11&gt;=0),5+(-'Cash Flow'!O10)/'Cash Flow'!N11,IF(AND('Cash Flow'!O11&lt;0,'Cash Flow'!O12&gt;=0),6+(-'Cash Flow'!O11)/'Cash Flow'!N12,IF(AND('Cash Flow'!O12&lt;0,'Cash Flow'!O13&gt;=0),7+(-'Cash Flow'!O12)/'Cash Flow'!N13,IF(AND('Cash Flow'!O13&lt;0,'Cash Flow'!O14&gt;=0),8+(-'Cash Flow'!O13)/'Cash Flow'!N14,IF(AND('Cash Flow'!O14&lt;0,'Cash Flow'!O15&gt;=0),9+(-'Cash Flow'!O14)/'Cash Flow'!N15,IF(AND('Cash Flow'!O15&lt;0,'Cash Flow'!O16&gt;=0),10+(-'Cash Flow'!O15)/'Cash Flow'!N16,IF(AND('Cash Flow'!O16&lt;0,'Cash Flow'!O17&gt;=0),11+(-'Cash Flow'!O16)/'Cash Flow'!N17,IF(AND('Cash Flow'!O17&lt;0,'Cash Flow'!O18&gt;=0),12+(-'Cash Flow'!O17)/'Cash Flow'!N18,IF(AND('Cash Flow'!O18&lt;0,'Cash Flow'!O19&gt;=0),13+(-'Cash Flow'!O18)/'Cash Flow'!N19,IF(AND('Cash Flow'!O19&lt;0,'Cash Flow'!O20&gt;=0),14+(-'Cash Flow'!O19)/'Cash Flow'!N20,IF(AND('Cash Flow'!O20&lt;0,'Cash Flow'!O21&gt;=0),15+(-'Cash Flow'!O20)/'Cash Flow'!N21,IF(AND('Cash Flow'!O21&lt;0,'Cash Flow'!O22&gt;=0),16+(-'Cash Flow'!O21)/'Cash Flow'!N22,IF(AND('Cash Flow'!O22&lt;0,'Cash Flow'!O23&gt;=0),17+(-'Cash Flow'!O22)/'Cash Flow'!N23,IF(AND('Cash Flow'!O23&lt;0,'Cash Flow'!O24&gt;=0),18+(-'Cash Flow'!O23)/'Cash Flow'!N24,IF(AND('Cash Flow'!O24&lt;0,'Cash Flow'!O25&gt;=0),19+(-'Cash Flow'!O24)/'Cash Flow'!N25,IF(AND('Cash Flow'!O25&lt;0,'Cash Flow'!O26&gt;=0),20+(-'Cash Flow'!O25)/'Cash Flow'!N26,IF(AND('Cash Flow'!O26&lt;0,'Cash Flow'!O27&gt;=0),21+(-'Cash Flow'!O26)/'Cash Flow'!N27,IF(AND('Cash Flow'!O27&lt;0,'Cash Flow'!O28&gt;=0),22+(-'Cash Flow'!O27)/'Cash Flow'!N28,IF(AND('Cash Flow'!O28&lt;0,'Cash Flow'!O29&gt;=0),23+(-'Cash Flow'!O28)/'Cash Flow'!N29,IF(AND('Cash Flow'!O29&lt;0,'Cash Flow'!O30&gt;=0),24+(-'Cash Flow'!O29)/'Cash Flow'!N30,"Over 25 years"))))))))))))))))))))))))))</f>
        <v>20.8853452366846</v>
      </c>
    </row>
    <row r="31" customFormat="false" ht="15" hidden="false" customHeight="false" outlineLevel="0" collapsed="false">
      <c r="A31" s="8" t="s">
        <v>56</v>
      </c>
      <c r="B31" s="18" t="str">
        <f aca="false">IF(B24="","",IFERROR(IRR('Cash Flow'!B5:B30),"n/a"))</f>
        <v/>
      </c>
      <c r="C31" s="18" t="n">
        <f aca="false">IF(C24="","",IFERROR(IRR('Cash Flow'!E5:E30),"n/a"))</f>
        <v>0.301420559340051</v>
      </c>
      <c r="D31" s="18" t="n">
        <f aca="false">IF(D24="","",IFERROR(IRR('Cash Flow'!H5:H30),"n/a"))</f>
        <v>0.235610993965627</v>
      </c>
      <c r="E31" s="18" t="n">
        <f aca="false">IF(E24="","",IFERROR(IRR('Cash Flow'!K5:K30),"n/a"))</f>
        <v>0.128860021996745</v>
      </c>
      <c r="F31" s="18" t="n">
        <f aca="false">IF(F24="","",IFERROR(IRR('Cash Flow'!N5:N30),"n/a"))</f>
        <v>0.0210376392806829</v>
      </c>
    </row>
    <row r="32" customFormat="false" ht="15" hidden="false" customHeight="false" outlineLevel="0" collapsed="false">
      <c r="A32" s="8" t="s">
        <v>57</v>
      </c>
      <c r="B32" s="19" t="str">
        <f aca="false">IF(B24="","",'Cash Flow'!B5+NPV(B14,'Cash Flow'!B6:B30))</f>
        <v/>
      </c>
      <c r="C32" s="19" t="n">
        <f aca="false">IF(C24="","",'Cash Flow'!E5+NPV(C14,'Cash Flow'!E6:E30))</f>
        <v>476004.27080842</v>
      </c>
      <c r="D32" s="19" t="n">
        <f aca="false">IF(D24="","",'Cash Flow'!H5+NPV(D14,'Cash Flow'!H6:H30))</f>
        <v>37306.7864795805</v>
      </c>
      <c r="E32" s="19" t="n">
        <f aca="false">IF(E24="","",'Cash Flow'!K5+NPV(E14,'Cash Flow'!K6:K30))</f>
        <v>16793.4408449797</v>
      </c>
      <c r="F32" s="19" t="n">
        <f aca="false">IF(F24="","",'Cash Flow'!N5+NPV(F14,'Cash Flow'!N6:N30))</f>
        <v>-6498.55391404145</v>
      </c>
    </row>
    <row r="33" customFormat="false" ht="15" hidden="false" customHeight="false" outlineLevel="0" collapsed="false">
      <c r="A33" s="8" t="s">
        <v>58</v>
      </c>
      <c r="B33" s="20" t="str">
        <f aca="false">IF(B24="","",(B6*(1+25*B20+B21))/(B24*((1-B19)^0+(1-B19)^1+(1-B19)^2+(1-B19)^3+(1-B19)^4+(1-B19)^5+(1-B19)^6+(1-B19)^7+(1-B19)^8+(1-B19)^9+(1-B19)^10+(1-B19)^11+(1-B19)^12+(1-B19)^13+(1-B19)^14+(1-B19)^15+(1-B19)^16+(1-B19)^17+(1-B19)^18+(1-B19)^19+(1-B19)^20+(1-B19)^21+(1-B19)^22+(1-B19)^23+(1-B19)^24)))</f>
        <v/>
      </c>
      <c r="C33" s="20" t="n">
        <f aca="false">IF(C24="","",(C6*(1+25*C20+C21))/(C24*((1-C19)^0+(1-C19)^1+(1-C19)^2+(1-C19)^3+(1-C19)^4+(1-C19)^5+(1-C19)^6+(1-C19)^7+(1-C19)^8+(1-C19)^9+(1-C19)^10+(1-C19)^11+(1-C19)^12+(1-C19)^13+(1-C19)^14+(1-C19)^15+(1-C19)^16+(1-C19)^17+(1-C19)^18+(1-C19)^19+(1-C19)^20+(1-C19)^21+(1-C19)^22+(1-C19)^23+(1-C19)^24)))</f>
        <v>0.528250321853611</v>
      </c>
      <c r="D33" s="20" t="n">
        <f aca="false">IF(D24="","",(D6*(1+25*D20+D21))/(D24*((1-D19)^0+(1-D19)^1+(1-D19)^2+(1-D19)^3+(1-D19)^4+(1-D19)^5+(1-D19)^6+(1-D19)^7+(1-D19)^8+(1-D19)^9+(1-D19)^10+(1-D19)^11+(1-D19)^12+(1-D19)^13+(1-D19)^14+(1-D19)^15+(1-D19)^16+(1-D19)^17+(1-D19)^18+(1-D19)^19+(1-D19)^20+(1-D19)^21+(1-D19)^22+(1-D19)^23+(1-D19)^24)))</f>
        <v>0.0614719868585601</v>
      </c>
      <c r="E33" s="20" t="n">
        <f aca="false">IF(E24="","",(E6*(1+25*E20+E21))/(E24*((1-E19)^0+(1-E19)^1+(1-E19)^2+(1-E19)^3+(1-E19)^4+(1-E19)^5+(1-E19)^6+(1-E19)^7+(1-E19)^8+(1-E19)^9+(1-E19)^10+(1-E19)^11+(1-E19)^12+(1-E19)^13+(1-E19)^14+(1-E19)^15+(1-E19)^16+(1-E19)^17+(1-E19)^18+(1-E19)^19+(1-E19)^20+(1-E19)^21+(1-E19)^22+(1-E19)^23+(1-E19)^24)))</f>
        <v>0.108095667712637</v>
      </c>
      <c r="F33" s="20" t="n">
        <f aca="false">IF(F24="","",(F6*(1+25*F20+F21))/(F24*((1-F19)^0+(1-F19)^1+(1-F19)^2+(1-F19)^3+(1-F19)^4+(1-F19)^5+(1-F19)^6+(1-F19)^7+(1-F19)^8+(1-F19)^9+(1-F19)^10+(1-F19)^11+(1-F19)^12+(1-F19)^13+(1-F19)^14+(1-F19)^15+(1-F19)^16+(1-F19)^17+(1-F19)^18+(1-F19)^19+(1-F19)^20+(1-F19)^21+(1-F19)^22+(1-F19)^23+(1-F19)^24)))</f>
        <v>0.171844394825218</v>
      </c>
    </row>
    <row r="34" customFormat="false" ht="15" hidden="false" customHeight="false" outlineLevel="0" collapsed="false">
      <c r="A34" s="8" t="s">
        <v>59</v>
      </c>
      <c r="B34" s="21" t="str">
        <f aca="false">IF(OR(B33="",N(B11)=0),"",B33/B11)</f>
        <v/>
      </c>
      <c r="C34" s="21" t="n">
        <f aca="false">IF(OR(C33="",N(C11)=0),"",C33/C11)</f>
        <v>0.137924366019219</v>
      </c>
      <c r="D34" s="21" t="n">
        <f aca="false">IF(OR(D33="",N(D11)=0),"",D33/D11)</f>
        <v>0.185491813091612</v>
      </c>
      <c r="E34" s="21" t="n">
        <f aca="false">IF(OR(E33="",N(E11)=0),"",E33/E11)</f>
        <v>0.410697825655916</v>
      </c>
      <c r="F34" s="21" t="n">
        <f aca="false">IF(OR(F33="",N(F11)=0),"",F33/F11)</f>
        <v>0.953631491815859</v>
      </c>
      <c r="G34" s="2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6" min="2" style="0" width="13"/>
  </cols>
  <sheetData>
    <row r="1" customFormat="false" ht="19.7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43.5" hidden="false" customHeight="true" outlineLevel="0" collapsed="false">
      <c r="A4" s="22" t="s">
        <v>63</v>
      </c>
      <c r="B4" s="23" t="s">
        <v>64</v>
      </c>
      <c r="C4" s="23" t="s">
        <v>65</v>
      </c>
      <c r="D4" s="23" t="s">
        <v>66</v>
      </c>
      <c r="E4" s="23" t="s">
        <v>67</v>
      </c>
      <c r="F4" s="23" t="s">
        <v>68</v>
      </c>
      <c r="G4" s="23" t="s">
        <v>69</v>
      </c>
      <c r="H4" s="23" t="s">
        <v>70</v>
      </c>
      <c r="I4" s="23" t="s">
        <v>71</v>
      </c>
      <c r="J4" s="23" t="s">
        <v>72</v>
      </c>
      <c r="K4" s="23" t="s">
        <v>73</v>
      </c>
      <c r="L4" s="23" t="s">
        <v>74</v>
      </c>
      <c r="M4" s="23" t="s">
        <v>75</v>
      </c>
      <c r="N4" s="23" t="s">
        <v>76</v>
      </c>
      <c r="O4" s="23" t="s">
        <v>77</v>
      </c>
      <c r="P4" s="23" t="s">
        <v>78</v>
      </c>
    </row>
    <row r="5" customFormat="false" ht="15" hidden="false" customHeight="false" outlineLevel="0" collapsed="false">
      <c r="A5" s="0" t="n">
        <v>0</v>
      </c>
      <c r="B5" s="24" t="str">
        <f aca="false">IF(N(Calculator!$B$6)=0,"",-Calculator!$B$6)</f>
        <v/>
      </c>
      <c r="C5" s="24" t="str">
        <f aca="false">B5</f>
        <v/>
      </c>
      <c r="D5" s="25" t="str">
        <f aca="false">IF(C5="","",C5/Calculator!$B$6)</f>
        <v/>
      </c>
      <c r="E5" s="24" t="n">
        <f aca="false">IF(N(Calculator!$C$6)=0,"",-Calculator!$C$6)</f>
        <v>-120000</v>
      </c>
      <c r="F5" s="24" t="n">
        <f aca="false">E5</f>
        <v>-120000</v>
      </c>
      <c r="G5" s="25" t="n">
        <f aca="false">IF(F5="","",F5/Calculator!$C$6)</f>
        <v>-1</v>
      </c>
      <c r="H5" s="24" t="n">
        <f aca="false">IF(N(Calculator!$D$6)=0,"",-Calculator!$D$6)</f>
        <v>-11500</v>
      </c>
      <c r="I5" s="24" t="n">
        <f aca="false">H5</f>
        <v>-11500</v>
      </c>
      <c r="J5" s="25" t="n">
        <f aca="false">IF(I5="","",I5/Calculator!$D$6)</f>
        <v>-1</v>
      </c>
      <c r="K5" s="24" t="n">
        <f aca="false">IF(N(Calculator!$E$6)=0,"",-Calculator!$E$6)</f>
        <v>-13000</v>
      </c>
      <c r="L5" s="24" t="n">
        <f aca="false">K5</f>
        <v>-13000</v>
      </c>
      <c r="M5" s="25" t="n">
        <f aca="false">IF(L5="","",L5/Calculator!$E$6)</f>
        <v>-1</v>
      </c>
      <c r="N5" s="24" t="n">
        <f aca="false">IF(N(Calculator!$F$6)=0,"",-Calculator!$F$6)</f>
        <v>-31000</v>
      </c>
      <c r="O5" s="24" t="n">
        <f aca="false">N5</f>
        <v>-31000</v>
      </c>
      <c r="P5" s="25" t="n">
        <f aca="false">IF(O5="","",O5/Calculator!$F$6)</f>
        <v>-1</v>
      </c>
    </row>
    <row r="6" customFormat="false" ht="15" hidden="false" customHeight="false" outlineLevel="0" collapsed="false">
      <c r="A6" s="0" t="n">
        <v>1</v>
      </c>
      <c r="B6" s="24" t="str">
        <f aca="false">IF(OR(N(Calculator!$B$6)=0,Calculator!$B$25=""),"",(Calculator!$B$25*Calculator!$B$11+Calculator!$B$26*Calculator!$B$12)*(1-Calculator!$B$19)^(1-1)*(1+Calculator!$B$13)^(1-1)-Calculator!$B$20*Calculator!$B$6-IF(1=Calculator!$B$22,Calculator!$B$21*Calculator!$B$6,0))</f>
        <v/>
      </c>
      <c r="C6" s="24" t="str">
        <f aca="false">IF(B6="","",C5+B6)</f>
        <v/>
      </c>
      <c r="D6" s="25" t="str">
        <f aca="false">IF(C6="","",C6/Calculator!$B$6)</f>
        <v/>
      </c>
      <c r="E6" s="24" t="n">
        <f aca="false">IF(OR(N(Calculator!$C$6)=0,Calculator!$C$25=""),"",(Calculator!$C$25*Calculator!$C$11+Calculator!$C$26*Calculator!$C$12)*(1-Calculator!$C$19)^(1-1)*(1+Calculator!$C$13)^(1-1)-Calculator!$C$20*Calculator!$C$6-IF(1=Calculator!$C$22,Calculator!$C$21*Calculator!$C$6,0))</f>
        <v>27525.17604</v>
      </c>
      <c r="F6" s="24" t="n">
        <f aca="false">IF(E6="","",F5+E6)</f>
        <v>-92474.82396</v>
      </c>
      <c r="G6" s="25" t="n">
        <f aca="false">IF(F6="","",F6/Calculator!$C$6)</f>
        <v>-0.770623533</v>
      </c>
      <c r="H6" s="24" t="n">
        <f aca="false">IF(OR(N(Calculator!$D$6)=0,Calculator!$D$25=""),"",(Calculator!$D$25*Calculator!$D$11+Calculator!$D$26*Calculator!$D$12)*(1-Calculator!$D$19)^(1-1)*(1+Calculator!$D$13)^(1-1)-Calculator!$D$20*Calculator!$D$6-IF(1=Calculator!$D$22,Calculator!$D$21*Calculator!$D$6,0))</f>
        <v>2479.80022</v>
      </c>
      <c r="I6" s="24" t="n">
        <f aca="false">IF(H6="","",I5+H6)</f>
        <v>-9020.19978</v>
      </c>
      <c r="J6" s="25" t="n">
        <f aca="false">IF(I6="","",I6/Calculator!$D$6)</f>
        <v>-0.78436519826087</v>
      </c>
      <c r="K6" s="24" t="n">
        <f aca="false">IF(OR(N(Calculator!$E$6)=0,Calculator!$E$25=""),"",(Calculator!$E$25*Calculator!$E$11+Calculator!$E$26*Calculator!$E$12)*(1-Calculator!$E$19)^(1-1)*(1+Calculator!$E$13)^(1-1)-Calculator!$E$20*Calculator!$E$6-IF(1=Calculator!$E$22,Calculator!$E$21*Calculator!$E$6,0))</f>
        <v>1551.1983136</v>
      </c>
      <c r="L6" s="24" t="n">
        <f aca="false">IF(K6="","",L5+K6)</f>
        <v>-11448.8016864</v>
      </c>
      <c r="M6" s="25" t="n">
        <f aca="false">IF(L6="","",L6/Calculator!$E$6)</f>
        <v>-0.8806770528</v>
      </c>
      <c r="N6" s="24" t="n">
        <f aca="false">IF(OR(N(Calculator!$F$6)=0,Calculator!$F$25=""),"",(Calculator!$F$25*Calculator!$F$11+Calculator!$F$26*Calculator!$F$12)*(1-Calculator!$F$19)^(1-1)*(1+Calculator!$F$13)^(1-1)-Calculator!$F$20*Calculator!$F$6-IF(1=Calculator!$F$22,Calculator!$F$21*Calculator!$F$6,0))</f>
        <v>1402.8159922</v>
      </c>
      <c r="O6" s="24" t="n">
        <f aca="false">IF(N6="","",O5+N6)</f>
        <v>-29597.1840078</v>
      </c>
      <c r="P6" s="25" t="n">
        <f aca="false">IF(O6="","",O6/Calculator!$F$6)</f>
        <v>-0.954747871219355</v>
      </c>
    </row>
    <row r="7" customFormat="false" ht="15" hidden="false" customHeight="false" outlineLevel="0" collapsed="false">
      <c r="A7" s="0" t="n">
        <v>2</v>
      </c>
      <c r="B7" s="24" t="str">
        <f aca="false">IF(OR(N(Calculator!$B$6)=0,Calculator!$B$25=""),"",(Calculator!$B$25*Calculator!$B$11+Calculator!$B$26*Calculator!$B$12)*(1-Calculator!$B$19)^(2-1)*(1+Calculator!$B$13)^(2-1)-Calculator!$B$20*Calculator!$B$6-IF(2=Calculator!$B$22,Calculator!$B$21*Calculator!$B$6,0))</f>
        <v/>
      </c>
      <c r="C7" s="24" t="str">
        <f aca="false">IF(B7="","",C6+B7)</f>
        <v/>
      </c>
      <c r="D7" s="25" t="str">
        <f aca="false">IF(C7="","",C7/Calculator!$B$6)</f>
        <v/>
      </c>
      <c r="E7" s="24" t="n">
        <f aca="false">IF(OR(N(Calculator!$C$6)=0,Calculator!$C$25=""),"",(Calculator!$C$25*Calculator!$C$11+Calculator!$C$26*Calculator!$C$12)*(1-Calculator!$C$19)^(2-1)*(1+Calculator!$C$13)^(2-1)-Calculator!$C$20*Calculator!$C$6-IF(2=Calculator!$C$22,Calculator!$C$21*Calculator!$C$6,0))</f>
        <v>29623.314172584</v>
      </c>
      <c r="F7" s="24" t="n">
        <f aca="false">IF(E7="","",F6+E7)</f>
        <v>-62851.509787416</v>
      </c>
      <c r="G7" s="25" t="n">
        <f aca="false">IF(F7="","",F7/Calculator!$C$6)</f>
        <v>-0.5237625815618</v>
      </c>
      <c r="H7" s="24" t="n">
        <f aca="false">IF(OR(N(Calculator!$D$6)=0,Calculator!$D$25=""),"",(Calculator!$D$25*Calculator!$D$11+Calculator!$D$26*Calculator!$D$12)*(1-Calculator!$D$19)^(2-1)*(1+Calculator!$D$13)^(2-1)-Calculator!$D$20*Calculator!$D$6-IF(2=Calculator!$D$22,Calculator!$D$21*Calculator!$D$6,0))</f>
        <v>2542.852130467</v>
      </c>
      <c r="I7" s="24" t="n">
        <f aca="false">IF(H7="","",I6+H7)</f>
        <v>-6477.347649533</v>
      </c>
      <c r="J7" s="25" t="n">
        <f aca="false">IF(I7="","",I7/Calculator!$D$6)</f>
        <v>-0.563247621698522</v>
      </c>
      <c r="K7" s="24" t="n">
        <f aca="false">IF(OR(N(Calculator!$E$6)=0,Calculator!$E$25=""),"",(Calculator!$E$25*Calculator!$E$11+Calculator!$E$26*Calculator!$E$12)*(1-Calculator!$E$19)^(2-1)*(1+Calculator!$E$13)^(2-1)-Calculator!$E$20*Calculator!$E$6-IF(2=Calculator!$E$22,Calculator!$E$21*Calculator!$E$6,0))</f>
        <v>1591.36084169296</v>
      </c>
      <c r="L7" s="24" t="n">
        <f aca="false">IF(K7="","",L6+K7)</f>
        <v>-9857.44084470704</v>
      </c>
      <c r="M7" s="25" t="n">
        <f aca="false">IF(L7="","",L7/Calculator!$E$6)</f>
        <v>-0.75826468036208</v>
      </c>
      <c r="N7" s="24" t="n">
        <f aca="false">IF(OR(N(Calculator!$F$6)=0,Calculator!$F$25=""),"",(Calculator!$F$25*Calculator!$F$11+Calculator!$F$26*Calculator!$F$12)*(1-Calculator!$F$19)^(2-1)*(1+Calculator!$F$13)^(2-1)-Calculator!$F$20*Calculator!$F$6-IF(2=Calculator!$F$22,Calculator!$F$21*Calculator!$F$6,0))</f>
        <v>1441.52771960617</v>
      </c>
      <c r="O7" s="24" t="n">
        <f aca="false">IF(N7="","",O6+N7)</f>
        <v>-28155.6562881938</v>
      </c>
      <c r="P7" s="25" t="n">
        <f aca="false">IF(O7="","",O7/Calculator!$F$6)</f>
        <v>-0.908246977038511</v>
      </c>
    </row>
    <row r="8" customFormat="false" ht="15" hidden="false" customHeight="false" outlineLevel="0" collapsed="false">
      <c r="A8" s="0" t="n">
        <v>3</v>
      </c>
      <c r="B8" s="24" t="str">
        <f aca="false">IF(OR(N(Calculator!$B$6)=0,Calculator!$B$25=""),"",(Calculator!$B$25*Calculator!$B$11+Calculator!$B$26*Calculator!$B$12)*(1-Calculator!$B$19)^(3-1)*(1+Calculator!$B$13)^(3-1)-Calculator!$B$20*Calculator!$B$6-IF(3=Calculator!$B$22,Calculator!$B$21*Calculator!$B$6,0))</f>
        <v/>
      </c>
      <c r="C8" s="24" t="str">
        <f aca="false">IF(B8="","",C7+B8)</f>
        <v/>
      </c>
      <c r="D8" s="25" t="str">
        <f aca="false">IF(C8="","",C8/Calculator!$B$6)</f>
        <v/>
      </c>
      <c r="E8" s="24" t="n">
        <f aca="false">IF(OR(N(Calculator!$C$6)=0,Calculator!$C$25=""),"",(Calculator!$C$25*Calculator!$C$11+Calculator!$C$26*Calculator!$C$12)*(1-Calculator!$C$19)^(3-1)*(1+Calculator!$C$13)^(3-1)-Calculator!$C$20*Calculator!$C$6-IF(3=Calculator!$C$22,Calculator!$C$21*Calculator!$C$6,0))</f>
        <v>31877.9734098588</v>
      </c>
      <c r="F8" s="24" t="n">
        <f aca="false">IF(E8="","",F7+E8)</f>
        <v>-30973.5363775572</v>
      </c>
      <c r="G8" s="25" t="n">
        <f aca="false">IF(F8="","",F8/Calculator!$C$6)</f>
        <v>-0.25811280314631</v>
      </c>
      <c r="H8" s="24" t="n">
        <f aca="false">IF(OR(N(Calculator!$D$6)=0,Calculator!$D$25=""),"",(Calculator!$D$25*Calculator!$D$11+Calculator!$D$26*Calculator!$D$12)*(1-Calculator!$D$19)^(3-1)*(1+Calculator!$D$13)^(3-1)-Calculator!$D$20*Calculator!$D$6-IF(3=Calculator!$D$22,Calculator!$D$21*Calculator!$D$6,0))</f>
        <v>2607.47088090911</v>
      </c>
      <c r="I8" s="24" t="n">
        <f aca="false">IF(H8="","",I7+H8)</f>
        <v>-3869.8767686239</v>
      </c>
      <c r="J8" s="25" t="n">
        <f aca="false">IF(I8="","",I8/Calculator!$D$6)</f>
        <v>-0.3365110233586</v>
      </c>
      <c r="K8" s="24" t="n">
        <f aca="false">IF(OR(N(Calculator!$E$6)=0,Calculator!$E$25=""),"",(Calculator!$E$25*Calculator!$E$11+Calculator!$E$26*Calculator!$E$12)*(1-Calculator!$E$19)^(3-1)*(1+Calculator!$E$13)^(3-1)-Calculator!$E$20*Calculator!$E$6-IF(3=Calculator!$E$22,Calculator!$E$21*Calculator!$E$6,0))</f>
        <v>1632.52140860903</v>
      </c>
      <c r="L8" s="24" t="n">
        <f aca="false">IF(K8="","",L7+K8)</f>
        <v>-8224.91943609801</v>
      </c>
      <c r="M8" s="25" t="n">
        <f aca="false">IF(L8="","",L8/Calculator!$E$6)</f>
        <v>-0.632686110469078</v>
      </c>
      <c r="N8" s="24" t="n">
        <f aca="false">IF(OR(N(Calculator!$F$6)=0,Calculator!$F$25=""),"",(Calculator!$F$25*Calculator!$F$11+Calculator!$F$26*Calculator!$F$12)*(1-Calculator!$F$19)^(3-1)*(1+Calculator!$F$13)^(3-1)-Calculator!$F$20*Calculator!$F$6-IF(3=Calculator!$F$22,Calculator!$F$21*Calculator!$F$6,0))</f>
        <v>1481.20143343838</v>
      </c>
      <c r="O8" s="24" t="n">
        <f aca="false">IF(N8="","",O7+N8)</f>
        <v>-26674.4548547554</v>
      </c>
      <c r="P8" s="25" t="n">
        <f aca="false">IF(O8="","",O8/Calculator!$F$6)</f>
        <v>-0.860466285637273</v>
      </c>
    </row>
    <row r="9" customFormat="false" ht="15" hidden="false" customHeight="false" outlineLevel="0" collapsed="false">
      <c r="A9" s="0" t="n">
        <v>4</v>
      </c>
      <c r="B9" s="24" t="str">
        <f aca="false">IF(OR(N(Calculator!$B$6)=0,Calculator!$B$25=""),"",(Calculator!$B$25*Calculator!$B$11+Calculator!$B$26*Calculator!$B$12)*(1-Calculator!$B$19)^(4-1)*(1+Calculator!$B$13)^(4-1)-Calculator!$B$20*Calculator!$B$6-IF(4=Calculator!$B$22,Calculator!$B$21*Calculator!$B$6,0))</f>
        <v/>
      </c>
      <c r="C9" s="24" t="str">
        <f aca="false">IF(B9="","",C8+B9)</f>
        <v/>
      </c>
      <c r="D9" s="25" t="str">
        <f aca="false">IF(C9="","",C9/Calculator!$B$6)</f>
        <v/>
      </c>
      <c r="E9" s="24" t="n">
        <f aca="false">IF(OR(N(Calculator!$C$6)=0,Calculator!$C$25=""),"",(Calculator!$C$25*Calculator!$C$11+Calculator!$C$26*Calculator!$C$12)*(1-Calculator!$C$19)^(4-1)*(1+Calculator!$C$13)^(4-1)-Calculator!$C$20*Calculator!$C$6-IF(4=Calculator!$C$22,Calculator!$C$21*Calculator!$C$6,0))</f>
        <v>34300.8302262342</v>
      </c>
      <c r="F9" s="24" t="n">
        <f aca="false">IF(E9="","",F8+E9)</f>
        <v>3327.29384867699</v>
      </c>
      <c r="G9" s="25" t="n">
        <f aca="false">IF(F9="","",F9/Calculator!$C$6)</f>
        <v>0.0277274487389749</v>
      </c>
      <c r="H9" s="24" t="n">
        <f aca="false">IF(OR(N(Calculator!$D$6)=0,Calculator!$D$25=""),"",(Calculator!$D$25*Calculator!$D$11+Calculator!$D$26*Calculator!$D$12)*(1-Calculator!$D$19)^(4-1)*(1+Calculator!$D$13)^(4-1)-Calculator!$D$20*Calculator!$D$6-IF(4=Calculator!$D$22,Calculator!$D$21*Calculator!$D$6,0))</f>
        <v>2673.6954072997</v>
      </c>
      <c r="I9" s="24" t="n">
        <f aca="false">IF(H9="","",I8+H9)</f>
        <v>-1196.1813613242</v>
      </c>
      <c r="J9" s="25" t="n">
        <f aca="false">IF(I9="","",I9/Calculator!$D$6)</f>
        <v>-0.104015770549931</v>
      </c>
      <c r="K9" s="24" t="n">
        <f aca="false">IF(OR(N(Calculator!$E$6)=0,Calculator!$E$25=""),"",(Calculator!$E$25*Calculator!$E$11+Calculator!$E$26*Calculator!$E$12)*(1-Calculator!$E$19)^(4-1)*(1+Calculator!$E$13)^(4-1)-Calculator!$E$20*Calculator!$E$6-IF(4=Calculator!$E$22,Calculator!$E$21*Calculator!$E$6,0))</f>
        <v>1674.70481561296</v>
      </c>
      <c r="L9" s="24" t="n">
        <f aca="false">IF(K9="","",L8+K9)</f>
        <v>-6550.21462048505</v>
      </c>
      <c r="M9" s="25" t="n">
        <f aca="false">IF(L9="","",L9/Calculator!$E$6)</f>
        <v>-0.503862663114234</v>
      </c>
      <c r="N9" s="24" t="n">
        <f aca="false">IF(OR(N(Calculator!$F$6)=0,Calculator!$F$25=""),"",(Calculator!$F$25*Calculator!$F$11+Calculator!$F$26*Calculator!$F$12)*(1-Calculator!$F$19)^(4-1)*(1+Calculator!$F$13)^(4-1)-Calculator!$F$20*Calculator!$F$6-IF(4=Calculator!$F$22,Calculator!$F$21*Calculator!$F$6,0))</f>
        <v>1521.86103905933</v>
      </c>
      <c r="O9" s="24" t="n">
        <f aca="false">IF(N9="","",O8+N9)</f>
        <v>-25152.5938156961</v>
      </c>
      <c r="P9" s="25" t="n">
        <f aca="false">IF(O9="","",O9/Calculator!$F$6)</f>
        <v>-0.811373994054714</v>
      </c>
    </row>
    <row r="10" customFormat="false" ht="15" hidden="false" customHeight="false" outlineLevel="0" collapsed="false">
      <c r="A10" s="0" t="n">
        <v>5</v>
      </c>
      <c r="B10" s="24" t="str">
        <f aca="false">IF(OR(N(Calculator!$B$6)=0,Calculator!$B$25=""),"",(Calculator!$B$25*Calculator!$B$11+Calculator!$B$26*Calculator!$B$12)*(1-Calculator!$B$19)^(5-1)*(1+Calculator!$B$13)^(5-1)-Calculator!$B$20*Calculator!$B$6-IF(5=Calculator!$B$22,Calculator!$B$21*Calculator!$B$6,0))</f>
        <v/>
      </c>
      <c r="C10" s="24" t="str">
        <f aca="false">IF(B10="","",C9+B10)</f>
        <v/>
      </c>
      <c r="D10" s="25" t="str">
        <f aca="false">IF(C10="","",C10/Calculator!$B$6)</f>
        <v/>
      </c>
      <c r="E10" s="24" t="n">
        <f aca="false">IF(OR(N(Calculator!$C$6)=0,Calculator!$C$25=""),"",(Calculator!$C$25*Calculator!$C$11+Calculator!$C$26*Calculator!$C$12)*(1-Calculator!$C$19)^(5-1)*(1+Calculator!$C$13)^(5-1)-Calculator!$C$20*Calculator!$C$6-IF(5=Calculator!$C$22,Calculator!$C$21*Calculator!$C$6,0))</f>
        <v>36904.4321611113</v>
      </c>
      <c r="F10" s="24" t="n">
        <f aca="false">IF(E10="","",F9+E10)</f>
        <v>40231.7260097883</v>
      </c>
      <c r="G10" s="25" t="n">
        <f aca="false">IF(F10="","",F10/Calculator!$C$6)</f>
        <v>0.335264383414903</v>
      </c>
      <c r="H10" s="24" t="n">
        <f aca="false">IF(OR(N(Calculator!$D$6)=0,Calculator!$D$25=""),"",(Calculator!$D$25*Calculator!$D$11+Calculator!$D$26*Calculator!$D$12)*(1-Calculator!$D$19)^(5-1)*(1+Calculator!$D$13)^(5-1)-Calculator!$D$20*Calculator!$D$6-IF(5=Calculator!$D$22,Calculator!$D$21*Calculator!$D$6,0))</f>
        <v>2741.56561317109</v>
      </c>
      <c r="I10" s="24" t="n">
        <f aca="false">IF(H10="","",I9+H10)</f>
        <v>1545.38425184689</v>
      </c>
      <c r="J10" s="25" t="n">
        <f aca="false">IF(I10="","",I10/Calculator!$D$6)</f>
        <v>0.134381239291034</v>
      </c>
      <c r="K10" s="24" t="n">
        <f aca="false">IF(OR(N(Calculator!$E$6)=0,Calculator!$E$25=""),"",(Calculator!$E$25*Calculator!$E$11+Calculator!$E$26*Calculator!$E$12)*(1-Calculator!$E$19)^(5-1)*(1+Calculator!$E$13)^(5-1)-Calculator!$E$20*Calculator!$E$6-IF(5=Calculator!$E$22,Calculator!$E$21*Calculator!$E$6,0))</f>
        <v>1717.93648028095</v>
      </c>
      <c r="L10" s="24" t="n">
        <f aca="false">IF(K10="","",L9+K10)</f>
        <v>-4832.2781402041</v>
      </c>
      <c r="M10" s="25" t="n">
        <f aca="false">IF(L10="","",L10/Calculator!$E$6)</f>
        <v>-0.371713703092623</v>
      </c>
      <c r="N10" s="24" t="n">
        <f aca="false">IF(OR(N(Calculator!$F$6)=0,Calculator!$F$25=""),"",(Calculator!$F$25*Calculator!$F$11+Calculator!$F$26*Calculator!$F$12)*(1-Calculator!$F$19)^(5-1)*(1+Calculator!$F$13)^(5-1)-Calculator!$F$20*Calculator!$F$6-IF(5=Calculator!$F$22,Calculator!$F$21*Calculator!$F$6,0))</f>
        <v>1563.53103587995</v>
      </c>
      <c r="O10" s="24" t="n">
        <f aca="false">IF(N10="","",O9+N10)</f>
        <v>-23589.0627798162</v>
      </c>
      <c r="P10" s="25" t="n">
        <f aca="false">IF(O10="","",O10/Calculator!$F$6)</f>
        <v>-0.760937509026328</v>
      </c>
    </row>
    <row r="11" customFormat="false" ht="15" hidden="false" customHeight="false" outlineLevel="0" collapsed="false">
      <c r="A11" s="0" t="n">
        <v>6</v>
      </c>
      <c r="B11" s="24" t="str">
        <f aca="false">IF(OR(N(Calculator!$B$6)=0,Calculator!$B$25=""),"",(Calculator!$B$25*Calculator!$B$11+Calculator!$B$26*Calculator!$B$12)*(1-Calculator!$B$19)^(6-1)*(1+Calculator!$B$13)^(6-1)-Calculator!$B$20*Calculator!$B$6-IF(6=Calculator!$B$22,Calculator!$B$21*Calculator!$B$6,0))</f>
        <v/>
      </c>
      <c r="C11" s="24" t="str">
        <f aca="false">IF(B11="","",C10+B11)</f>
        <v/>
      </c>
      <c r="D11" s="25" t="str">
        <f aca="false">IF(C11="","",C11/Calculator!$B$6)</f>
        <v/>
      </c>
      <c r="E11" s="24" t="n">
        <f aca="false">IF(OR(N(Calculator!$C$6)=0,Calculator!$C$25=""),"",(Calculator!$C$25*Calculator!$C$11+Calculator!$C$26*Calculator!$C$12)*(1-Calculator!$C$19)^(6-1)*(1+Calculator!$C$13)^(6-1)-Calculator!$C$20*Calculator!$C$6-IF(6=Calculator!$C$22,Calculator!$C$21*Calculator!$C$6,0))</f>
        <v>39702.2628003302</v>
      </c>
      <c r="F11" s="24" t="n">
        <f aca="false">IF(E11="","",F10+E11)</f>
        <v>79933.9888101185</v>
      </c>
      <c r="G11" s="25" t="n">
        <f aca="false">IF(F11="","",F11/Calculator!$C$6)</f>
        <v>0.666116573417654</v>
      </c>
      <c r="H11" s="24" t="n">
        <f aca="false">IF(OR(N(Calculator!$D$6)=0,Calculator!$D$25=""),"",(Calculator!$D$25*Calculator!$D$11+Calculator!$D$26*Calculator!$D$12)*(1-Calculator!$D$19)^(6-1)*(1+Calculator!$D$13)^(6-1)-Calculator!$D$20*Calculator!$D$6-IF(6=Calculator!$D$22,Calculator!$D$21*Calculator!$D$6,0))</f>
        <v>2811.1223936584</v>
      </c>
      <c r="I11" s="24" t="n">
        <f aca="false">IF(H11="","",I10+H11)</f>
        <v>4356.50664550529</v>
      </c>
      <c r="J11" s="25" t="n">
        <f aca="false">IF(I11="","",I11/Calculator!$D$6)</f>
        <v>0.378826664826547</v>
      </c>
      <c r="K11" s="24" t="n">
        <f aca="false">IF(OR(N(Calculator!$E$6)=0,Calculator!$E$25=""),"",(Calculator!$E$25*Calculator!$E$11+Calculator!$E$26*Calculator!$E$12)*(1-Calculator!$E$19)^(6-1)*(1+Calculator!$E$13)^(6-1)-Calculator!$E$20*Calculator!$E$6-IF(6=Calculator!$E$22,Calculator!$E$21*Calculator!$E$6,0))</f>
        <v>1762.24245181593</v>
      </c>
      <c r="L11" s="24" t="n">
        <f aca="false">IF(K11="","",L10+K11)</f>
        <v>-3070.03568838817</v>
      </c>
      <c r="M11" s="25" t="n">
        <f aca="false">IF(L11="","",L11/Calculator!$E$6)</f>
        <v>-0.236156591414475</v>
      </c>
      <c r="N11" s="24" t="n">
        <f aca="false">IF(OR(N(Calculator!$F$6)=0,Calculator!$F$25=""),"",(Calculator!$F$25*Calculator!$F$11+Calculator!$F$26*Calculator!$F$12)*(1-Calculator!$F$19)^(6-1)*(1+Calculator!$F$13)^(6-1)-Calculator!$F$20*Calculator!$F$6-IF(6=Calculator!$F$22,Calculator!$F$21*Calculator!$F$6,0))</f>
        <v>1606.23653212157</v>
      </c>
      <c r="O11" s="24" t="n">
        <f aca="false">IF(N11="","",O10+N11)</f>
        <v>-21982.8262476946</v>
      </c>
      <c r="P11" s="25" t="n">
        <f aca="false">IF(O11="","",O11/Calculator!$F$6)</f>
        <v>-0.709123427344987</v>
      </c>
    </row>
    <row r="12" customFormat="false" ht="15" hidden="false" customHeight="false" outlineLevel="0" collapsed="false">
      <c r="A12" s="0" t="n">
        <v>7</v>
      </c>
      <c r="B12" s="24" t="str">
        <f aca="false">IF(OR(N(Calculator!$B$6)=0,Calculator!$B$25=""),"",(Calculator!$B$25*Calculator!$B$11+Calculator!$B$26*Calculator!$B$12)*(1-Calculator!$B$19)^(7-1)*(1+Calculator!$B$13)^(7-1)-Calculator!$B$20*Calculator!$B$6-IF(7=Calculator!$B$22,Calculator!$B$21*Calculator!$B$6,0))</f>
        <v/>
      </c>
      <c r="C12" s="24" t="str">
        <f aca="false">IF(B12="","",C11+B12)</f>
        <v/>
      </c>
      <c r="D12" s="25" t="str">
        <f aca="false">IF(C12="","",C12/Calculator!$B$6)</f>
        <v/>
      </c>
      <c r="E12" s="24" t="n">
        <f aca="false">IF(OR(N(Calculator!$C$6)=0,Calculator!$C$25=""),"",(Calculator!$C$25*Calculator!$C$11+Calculator!$C$26*Calculator!$C$12)*(1-Calculator!$C$19)^(7-1)*(1+Calculator!$C$13)^(7-1)-Calculator!$C$20*Calculator!$C$6-IF(7=Calculator!$C$22,Calculator!$C$21*Calculator!$C$6,0))</f>
        <v>42708.8116052349</v>
      </c>
      <c r="F12" s="24" t="n">
        <f aca="false">IF(E12="","",F11+E12)</f>
        <v>122642.800415353</v>
      </c>
      <c r="G12" s="25" t="n">
        <f aca="false">IF(F12="","",F12/Calculator!$C$6)</f>
        <v>1.02202333679461</v>
      </c>
      <c r="H12" s="24" t="n">
        <f aca="false">IF(OR(N(Calculator!$D$6)=0,Calculator!$D$25=""),"",(Calculator!$D$25*Calculator!$D$11+Calculator!$D$26*Calculator!$D$12)*(1-Calculator!$D$19)^(7-1)*(1+Calculator!$D$13)^(7-1)-Calculator!$D$20*Calculator!$D$6-IF(7=Calculator!$D$22,Calculator!$D$21*Calculator!$D$6,0))</f>
        <v>2882.40766014081</v>
      </c>
      <c r="I12" s="24" t="n">
        <f aca="false">IF(H12="","",I11+H12)</f>
        <v>7238.91430564609</v>
      </c>
      <c r="J12" s="25" t="n">
        <f aca="false">IF(I12="","",I12/Calculator!$D$6)</f>
        <v>0.629470809186617</v>
      </c>
      <c r="K12" s="24" t="n">
        <f aca="false">IF(OR(N(Calculator!$E$6)=0,Calculator!$E$25=""),"",(Calculator!$E$25*Calculator!$E$11+Calculator!$E$26*Calculator!$E$12)*(1-Calculator!$E$19)^(7-1)*(1+Calculator!$E$13)^(7-1)-Calculator!$E$20*Calculator!$E$6-IF(7=Calculator!$E$22,Calculator!$E$21*Calculator!$E$6,0))</f>
        <v>1807.64942674355</v>
      </c>
      <c r="L12" s="24" t="n">
        <f aca="false">IF(K12="","",L11+K12)</f>
        <v>-1262.38626164462</v>
      </c>
      <c r="M12" s="25" t="n">
        <f aca="false">IF(L12="","",L12/Calculator!$E$6)</f>
        <v>-0.0971066355111245</v>
      </c>
      <c r="N12" s="24" t="n">
        <f aca="false">IF(OR(N(Calculator!$F$6)=0,Calculator!$F$25=""),"",(Calculator!$F$25*Calculator!$F$11+Calculator!$F$26*Calculator!$F$12)*(1-Calculator!$F$19)^(7-1)*(1+Calculator!$F$13)^(7-1)-Calculator!$F$20*Calculator!$F$6-IF(7=Calculator!$F$22,Calculator!$F$21*Calculator!$F$6,0))</f>
        <v>1650.00325994479</v>
      </c>
      <c r="O12" s="24" t="n">
        <f aca="false">IF(N12="","",O11+N12)</f>
        <v>-20332.8229877498</v>
      </c>
      <c r="P12" s="25" t="n">
        <f aca="false">IF(O12="","",O12/Calculator!$F$6)</f>
        <v>-0.655897515733865</v>
      </c>
    </row>
    <row r="13" customFormat="false" ht="15" hidden="false" customHeight="false" outlineLevel="0" collapsed="false">
      <c r="A13" s="0" t="n">
        <v>8</v>
      </c>
      <c r="B13" s="24" t="str">
        <f aca="false">IF(OR(N(Calculator!$B$6)=0,Calculator!$B$25=""),"",(Calculator!$B$25*Calculator!$B$11+Calculator!$B$26*Calculator!$B$12)*(1-Calculator!$B$19)^(8-1)*(1+Calculator!$B$13)^(8-1)-Calculator!$B$20*Calculator!$B$6-IF(8=Calculator!$B$22,Calculator!$B$21*Calculator!$B$6,0))</f>
        <v/>
      </c>
      <c r="C13" s="24" t="str">
        <f aca="false">IF(B13="","",C12+B13)</f>
        <v/>
      </c>
      <c r="D13" s="25" t="str">
        <f aca="false">IF(C13="","",C13/Calculator!$B$6)</f>
        <v/>
      </c>
      <c r="E13" s="24" t="n">
        <f aca="false">IF(OR(N(Calculator!$C$6)=0,Calculator!$C$25=""),"",(Calculator!$C$25*Calculator!$C$11+Calculator!$C$26*Calculator!$C$12)*(1-Calculator!$C$19)^(8-1)*(1+Calculator!$C$13)^(8-1)-Calculator!$C$20*Calculator!$C$6-IF(8=Calculator!$C$22,Calculator!$C$21*Calculator!$C$6,0))</f>
        <v>45939.6489509854</v>
      </c>
      <c r="F13" s="24" t="n">
        <f aca="false">IF(E13="","",F12+E13)</f>
        <v>168582.449366339</v>
      </c>
      <c r="G13" s="25" t="n">
        <f aca="false">IF(F13="","",F13/Calculator!$C$6)</f>
        <v>1.40485374471949</v>
      </c>
      <c r="H13" s="24" t="n">
        <f aca="false">IF(OR(N(Calculator!$D$6)=0,Calculator!$D$25=""),"",(Calculator!$D$25*Calculator!$D$11+Calculator!$D$26*Calculator!$D$12)*(1-Calculator!$D$19)^(8-1)*(1+Calculator!$D$13)^(8-1)-Calculator!$D$20*Calculator!$D$6-IF(8=Calculator!$D$22,Calculator!$D$21*Calculator!$D$6,0))</f>
        <v>2955.46436549531</v>
      </c>
      <c r="I13" s="24" t="n">
        <f aca="false">IF(H13="","",I12+H13)</f>
        <v>10194.3786711414</v>
      </c>
      <c r="J13" s="25" t="n">
        <f aca="false">IF(I13="","",I13/Calculator!$D$6)</f>
        <v>0.886467710534035</v>
      </c>
      <c r="K13" s="24" t="n">
        <f aca="false">IF(OR(N(Calculator!$E$6)=0,Calculator!$E$25=""),"",(Calculator!$E$25*Calculator!$E$11+Calculator!$E$26*Calculator!$E$12)*(1-Calculator!$E$19)^(8-1)*(1+Calculator!$E$13)^(8-1)-Calculator!$E$20*Calculator!$E$6-IF(8=Calculator!$E$22,Calculator!$E$21*Calculator!$E$6,0))</f>
        <v>1854.18476499813</v>
      </c>
      <c r="L13" s="24" t="n">
        <f aca="false">IF(K13="","",L12+K13)</f>
        <v>591.798503353513</v>
      </c>
      <c r="M13" s="25" t="n">
        <f aca="false">IF(L13="","",L13/Calculator!$E$6)</f>
        <v>0.0455229617964241</v>
      </c>
      <c r="N13" s="24" t="n">
        <f aca="false">IF(OR(N(Calculator!$F$6)=0,Calculator!$F$25=""),"",(Calculator!$F$25*Calculator!$F$11+Calculator!$F$26*Calculator!$F$12)*(1-Calculator!$F$19)^(8-1)*(1+Calculator!$F$13)^(8-1)-Calculator!$F$20*Calculator!$F$6-IF(8=Calculator!$F$22,Calculator!$F$21*Calculator!$F$6,0))</f>
        <v>1694.85759095442</v>
      </c>
      <c r="O13" s="24" t="n">
        <f aca="false">IF(N13="","",O12+N13)</f>
        <v>-18637.9653967954</v>
      </c>
      <c r="P13" s="25" t="n">
        <f aca="false">IF(O13="","",O13/Calculator!$F$6)</f>
        <v>-0.601224690219206</v>
      </c>
    </row>
    <row r="14" customFormat="false" ht="15" hidden="false" customHeight="false" outlineLevel="0" collapsed="false">
      <c r="A14" s="0" t="n">
        <v>9</v>
      </c>
      <c r="B14" s="24" t="str">
        <f aca="false">IF(OR(N(Calculator!$B$6)=0,Calculator!$B$25=""),"",(Calculator!$B$25*Calculator!$B$11+Calculator!$B$26*Calculator!$B$12)*(1-Calculator!$B$19)^(9-1)*(1+Calculator!$B$13)^(9-1)-Calculator!$B$20*Calculator!$B$6-IF(9=Calculator!$B$22,Calculator!$B$21*Calculator!$B$6,0))</f>
        <v/>
      </c>
      <c r="C14" s="24" t="str">
        <f aca="false">IF(B14="","",C13+B14)</f>
        <v/>
      </c>
      <c r="D14" s="25" t="str">
        <f aca="false">IF(C14="","",C14/Calculator!$B$6)</f>
        <v/>
      </c>
      <c r="E14" s="24" t="n">
        <f aca="false">IF(OR(N(Calculator!$C$6)=0,Calculator!$C$25=""),"",(Calculator!$C$25*Calculator!$C$11+Calculator!$C$26*Calculator!$C$12)*(1-Calculator!$C$19)^(9-1)*(1+Calculator!$C$13)^(9-1)-Calculator!$C$20*Calculator!$C$6-IF(9=Calculator!$C$22,Calculator!$C$21*Calculator!$C$6,0))</f>
        <v>49411.5067627289</v>
      </c>
      <c r="F14" s="24" t="n">
        <f aca="false">IF(E14="","",F13+E14)</f>
        <v>217993.956129068</v>
      </c>
      <c r="G14" s="25" t="n">
        <f aca="false">IF(F14="","",F14/Calculator!$C$6)</f>
        <v>1.81661630107556</v>
      </c>
      <c r="H14" s="24" t="n">
        <f aca="false">IF(OR(N(Calculator!$D$6)=0,Calculator!$D$25=""),"",(Calculator!$D$25*Calculator!$D$11+Calculator!$D$26*Calculator!$D$12)*(1-Calculator!$D$19)^(9-1)*(1+Calculator!$D$13)^(9-1)-Calculator!$D$20*Calculator!$D$6-IF(9=Calculator!$D$22,Calculator!$D$21*Calculator!$D$6,0))</f>
        <v>3030.33652997786</v>
      </c>
      <c r="I14" s="24" t="n">
        <f aca="false">IF(H14="","",I13+H14)</f>
        <v>13224.7152011193</v>
      </c>
      <c r="J14" s="25" t="n">
        <f aca="false">IF(I14="","",I14/Calculator!$D$6)</f>
        <v>1.14997523487994</v>
      </c>
      <c r="K14" s="24" t="n">
        <f aca="false">IF(OR(N(Calculator!$E$6)=0,Calculator!$E$25=""),"",(Calculator!$E$25*Calculator!$E$11+Calculator!$E$26*Calculator!$E$12)*(1-Calculator!$E$19)^(9-1)*(1+Calculator!$E$13)^(9-1)-Calculator!$E$20*Calculator!$E$6-IF(9=Calculator!$E$22,Calculator!$E$21*Calculator!$E$6,0))</f>
        <v>1901.87650640834</v>
      </c>
      <c r="L14" s="24" t="n">
        <f aca="false">IF(K14="","",L13+K14)</f>
        <v>2493.67500976185</v>
      </c>
      <c r="M14" s="25" t="n">
        <f aca="false">IF(L14="","",L14/Calculator!$E$6)</f>
        <v>0.191821154597065</v>
      </c>
      <c r="N14" s="24" t="n">
        <f aca="false">IF(OR(N(Calculator!$F$6)=0,Calculator!$F$25=""),"",(Calculator!$F$25*Calculator!$F$11+Calculator!$F$26*Calculator!$F$12)*(1-Calculator!$F$19)^(9-1)*(1+Calculator!$F$13)^(9-1)-Calculator!$F$20*Calculator!$F$6-IF(9=Calculator!$F$22,Calculator!$F$21*Calculator!$F$6,0))</f>
        <v>1740.82655208963</v>
      </c>
      <c r="O14" s="24" t="n">
        <f aca="false">IF(N14="","",O13+N14)</f>
        <v>-16897.1388447058</v>
      </c>
      <c r="P14" s="25" t="n">
        <f aca="false">IF(O14="","",O14/Calculator!$F$6)</f>
        <v>-0.545068994990508</v>
      </c>
    </row>
    <row r="15" customFormat="false" ht="15" hidden="false" customHeight="false" outlineLevel="0" collapsed="false">
      <c r="A15" s="0" t="n">
        <v>10</v>
      </c>
      <c r="B15" s="24" t="str">
        <f aca="false">IF(OR(N(Calculator!$B$6)=0,Calculator!$B$25=""),"",(Calculator!$B$25*Calculator!$B$11+Calculator!$B$26*Calculator!$B$12)*(1-Calculator!$B$19)^(10-1)*(1+Calculator!$B$13)^(10-1)-Calculator!$B$20*Calculator!$B$6-IF(10=Calculator!$B$22,Calculator!$B$21*Calculator!$B$6,0))</f>
        <v/>
      </c>
      <c r="C15" s="24" t="str">
        <f aca="false">IF(B15="","",C14+B15)</f>
        <v/>
      </c>
      <c r="D15" s="25" t="str">
        <f aca="false">IF(C15="","",C15/Calculator!$B$6)</f>
        <v/>
      </c>
      <c r="E15" s="24" t="n">
        <f aca="false">IF(OR(N(Calculator!$C$6)=0,Calculator!$C$25=""),"",(Calculator!$C$25*Calculator!$C$11+Calculator!$C$26*Calculator!$C$12)*(1-Calculator!$C$19)^(10-1)*(1+Calculator!$C$13)^(10-1)-Calculator!$C$20*Calculator!$C$6-IF(10=Calculator!$C$22,Calculator!$C$21*Calculator!$C$6,0))</f>
        <v>53142.3651672285</v>
      </c>
      <c r="F15" s="24" t="n">
        <f aca="false">IF(E15="","",F14+E15)</f>
        <v>271136.321296296</v>
      </c>
      <c r="G15" s="25" t="n">
        <f aca="false">IF(F15="","",F15/Calculator!$C$6)</f>
        <v>2.2594693441358</v>
      </c>
      <c r="H15" s="24" t="n">
        <f aca="false">IF(OR(N(Calculator!$D$6)=0,Calculator!$D$25=""),"",(Calculator!$D$25*Calculator!$D$11+Calculator!$D$26*Calculator!$D$12)*(1-Calculator!$D$19)^(10-1)*(1+Calculator!$D$13)^(10-1)-Calculator!$D$20*Calculator!$D$6-IF(10=Calculator!$D$22,Calculator!$D$21*Calculator!$D$6,0))</f>
        <v>3107.06926774781</v>
      </c>
      <c r="I15" s="24" t="n">
        <f aca="false">IF(H15="","",I14+H15)</f>
        <v>16331.7844688671</v>
      </c>
      <c r="J15" s="25" t="n">
        <f aca="false">IF(I15="","",I15/Calculator!$D$6)</f>
        <v>1.42015517120583</v>
      </c>
      <c r="K15" s="24" t="n">
        <f aca="false">IF(OR(N(Calculator!$E$6)=0,Calculator!$E$25=""),"",(Calculator!$E$25*Calculator!$E$11+Calculator!$E$26*Calculator!$E$12)*(1-Calculator!$E$19)^(10-1)*(1+Calculator!$E$13)^(10-1)-Calculator!$E$20*Calculator!$E$6-IF(10=Calculator!$E$22,Calculator!$E$21*Calculator!$E$6,0))</f>
        <v>1950.75338759258</v>
      </c>
      <c r="L15" s="24" t="n">
        <f aca="false">IF(K15="","",L14+K15)</f>
        <v>4444.42839735443</v>
      </c>
      <c r="M15" s="25" t="n">
        <f aca="false">IF(L15="","",L15/Calculator!$E$6)</f>
        <v>0.341879107488802</v>
      </c>
      <c r="N15" s="24" t="n">
        <f aca="false">IF(OR(N(Calculator!$F$6)=0,Calculator!$F$25=""),"",(Calculator!$F$25*Calculator!$F$11+Calculator!$F$26*Calculator!$F$12)*(1-Calculator!$F$19)^(10-1)*(1+Calculator!$F$13)^(10-1)-Calculator!$F$20*Calculator!$F$6-IF(10=Calculator!$F$22,Calculator!$F$21*Calculator!$F$6,0))</f>
        <v>1787.93784190906</v>
      </c>
      <c r="O15" s="24" t="n">
        <f aca="false">IF(N15="","",O14+N15)</f>
        <v>-15109.2010027967</v>
      </c>
      <c r="P15" s="25" t="n">
        <f aca="false">IF(O15="","",O15/Calculator!$F$6)</f>
        <v>-0.487393580735377</v>
      </c>
    </row>
    <row r="16" customFormat="false" ht="15" hidden="false" customHeight="false" outlineLevel="0" collapsed="false">
      <c r="A16" s="0" t="n">
        <v>11</v>
      </c>
      <c r="B16" s="24" t="str">
        <f aca="false">IF(OR(N(Calculator!$B$6)=0,Calculator!$B$25=""),"",(Calculator!$B$25*Calculator!$B$11+Calculator!$B$26*Calculator!$B$12)*(1-Calculator!$B$19)^(11-1)*(1+Calculator!$B$13)^(11-1)-Calculator!$B$20*Calculator!$B$6-IF(11=Calculator!$B$22,Calculator!$B$21*Calculator!$B$6,0))</f>
        <v/>
      </c>
      <c r="C16" s="24" t="str">
        <f aca="false">IF(B16="","",C15+B16)</f>
        <v/>
      </c>
      <c r="D16" s="25" t="str">
        <f aca="false">IF(C16="","",C16/Calculator!$B$6)</f>
        <v/>
      </c>
      <c r="E16" s="24" t="n">
        <f aca="false">IF(OR(N(Calculator!$C$6)=0,Calculator!$C$25=""),"",(Calculator!$C$25*Calculator!$C$11+Calculator!$C$26*Calculator!$C$12)*(1-Calculator!$C$19)^(11-1)*(1+Calculator!$C$13)^(11-1)-Calculator!$C$20*Calculator!$C$6-IF(11=Calculator!$C$22,Calculator!$C$21*Calculator!$C$6,0))</f>
        <v>57151.5456087037</v>
      </c>
      <c r="F16" s="24" t="n">
        <f aca="false">IF(E16="","",F15+E16)</f>
        <v>328287.866905</v>
      </c>
      <c r="G16" s="25" t="n">
        <f aca="false">IF(F16="","",F16/Calculator!$C$6)</f>
        <v>2.73573222420833</v>
      </c>
      <c r="H16" s="24" t="n">
        <f aca="false">IF(OR(N(Calculator!$D$6)=0,Calculator!$D$25=""),"",(Calculator!$D$25*Calculator!$D$11+Calculator!$D$26*Calculator!$D$12)*(1-Calculator!$D$19)^(11-1)*(1+Calculator!$D$13)^(11-1)-Calculator!$D$20*Calculator!$D$6-IF(11=Calculator!$D$22,Calculator!$D$21*Calculator!$D$6,0))</f>
        <v>3185.70881405135</v>
      </c>
      <c r="I16" s="24" t="n">
        <f aca="false">IF(H16="","",I15+H16)</f>
        <v>19517.4932829184</v>
      </c>
      <c r="J16" s="25" t="n">
        <f aca="false">IF(I16="","",I16/Calculator!$D$6)</f>
        <v>1.69717332894943</v>
      </c>
      <c r="K16" s="24" t="n">
        <f aca="false">IF(OR(N(Calculator!$E$6)=0,Calculator!$E$25=""),"",(Calculator!$E$25*Calculator!$E$11+Calculator!$E$26*Calculator!$E$12)*(1-Calculator!$E$19)^(11-1)*(1+Calculator!$E$13)^(11-1)-Calculator!$E$20*Calculator!$E$6-IF(11=Calculator!$E$22,Calculator!$E$21*Calculator!$E$6,0))</f>
        <v>2000.84485927426</v>
      </c>
      <c r="L16" s="24" t="n">
        <f aca="false">IF(K16="","",L15+K16)</f>
        <v>6445.27325662869</v>
      </c>
      <c r="M16" s="25" t="n">
        <f aca="false">IF(L16="","",L16/Calculator!$E$6)</f>
        <v>0.495790250509899</v>
      </c>
      <c r="N16" s="24" t="n">
        <f aca="false">IF(OR(N(Calculator!$F$6)=0,Calculator!$F$25=""),"",(Calculator!$F$25*Calculator!$F$11+Calculator!$F$26*Calculator!$F$12)*(1-Calculator!$F$19)^(11-1)*(1+Calculator!$F$13)^(11-1)-Calculator!$F$20*Calculator!$F$6-IF(11=Calculator!$F$22,Calculator!$F$21*Calculator!$F$6,0))</f>
        <v>1836.2198472805</v>
      </c>
      <c r="O16" s="24" t="n">
        <f aca="false">IF(N16="","",O15+N16)</f>
        <v>-13272.9811555162</v>
      </c>
      <c r="P16" s="25" t="n">
        <f aca="false">IF(O16="","",O16/Calculator!$F$6)</f>
        <v>-0.428160682436006</v>
      </c>
    </row>
    <row r="17" customFormat="false" ht="15" hidden="false" customHeight="false" outlineLevel="0" collapsed="false">
      <c r="A17" s="0" t="n">
        <v>12</v>
      </c>
      <c r="B17" s="24" t="str">
        <f aca="false">IF(OR(N(Calculator!$B$6)=0,Calculator!$B$25=""),"",(Calculator!$B$25*Calculator!$B$11+Calculator!$B$26*Calculator!$B$12)*(1-Calculator!$B$19)^(12-1)*(1+Calculator!$B$13)^(12-1)-Calculator!$B$20*Calculator!$B$6-IF(12=Calculator!$B$22,Calculator!$B$21*Calculator!$B$6,0))</f>
        <v/>
      </c>
      <c r="C17" s="24" t="str">
        <f aca="false">IF(B17="","",C16+B17)</f>
        <v/>
      </c>
      <c r="D17" s="25" t="str">
        <f aca="false">IF(C17="","",C17/Calculator!$B$6)</f>
        <v/>
      </c>
      <c r="E17" s="24" t="n">
        <f aca="false">IF(OR(N(Calculator!$C$6)=0,Calculator!$C$25=""),"",(Calculator!$C$25*Calculator!$C$11+Calculator!$C$26*Calculator!$C$12)*(1-Calculator!$C$19)^(12-1)*(1+Calculator!$C$13)^(12-1)-Calculator!$C$20*Calculator!$C$6-IF(12=Calculator!$C$22,Calculator!$C$21*Calculator!$C$6,0))</f>
        <v>61459.810911113</v>
      </c>
      <c r="F17" s="24" t="n">
        <f aca="false">IF(E17="","",F16+E17)</f>
        <v>389747.677816113</v>
      </c>
      <c r="G17" s="25" t="n">
        <f aca="false">IF(F17="","",F17/Calculator!$C$6)</f>
        <v>3.24789731513427</v>
      </c>
      <c r="H17" s="24" t="n">
        <f aca="false">IF(OR(N(Calculator!$D$6)=0,Calculator!$D$25=""),"",(Calculator!$D$25*Calculator!$D$11+Calculator!$D$26*Calculator!$D$12)*(1-Calculator!$D$19)^(12-1)*(1+Calculator!$D$13)^(12-1)-Calculator!$D$20*Calculator!$D$6-IF(12=Calculator!$D$22,Calculator!$D$21*Calculator!$D$6,0))</f>
        <v>3266.30255308052</v>
      </c>
      <c r="I17" s="24" t="n">
        <f aca="false">IF(H17="","",I16+H17)</f>
        <v>22783.795835999</v>
      </c>
      <c r="J17" s="25" t="n">
        <f aca="false">IF(I17="","",I17/Calculator!$D$6)</f>
        <v>1.98119963791295</v>
      </c>
      <c r="K17" s="24" t="n">
        <f aca="false">IF(OR(N(Calculator!$E$6)=0,Calculator!$E$25=""),"",(Calculator!$E$25*Calculator!$E$11+Calculator!$E$26*Calculator!$E$12)*(1-Calculator!$E$19)^(12-1)*(1+Calculator!$E$13)^(12-1)-Calculator!$E$20*Calculator!$E$6-IF(12=Calculator!$E$22,Calculator!$E$21*Calculator!$E$6,0))</f>
        <v>2052.18110402722</v>
      </c>
      <c r="L17" s="24" t="n">
        <f aca="false">IF(K17="","",L16+K17)</f>
        <v>8497.45436065591</v>
      </c>
      <c r="M17" s="25" t="n">
        <f aca="false">IF(L17="","",L17/Calculator!$E$6)</f>
        <v>0.65365033543507</v>
      </c>
      <c r="N17" s="24" t="n">
        <f aca="false">IF(OR(N(Calculator!$F$6)=0,Calculator!$F$25=""),"",(Calculator!$F$25*Calculator!$F$11+Calculator!$F$26*Calculator!$F$12)*(1-Calculator!$F$19)^(12-1)*(1+Calculator!$F$13)^(12-1)-Calculator!$F$20*Calculator!$F$6-IF(12=Calculator!$F$22,Calculator!$F$21*Calculator!$F$6,0))</f>
        <v>1885.70166048542</v>
      </c>
      <c r="O17" s="24" t="n">
        <f aca="false">IF(N17="","",O16+N17)</f>
        <v>-11387.2794950308</v>
      </c>
      <c r="P17" s="25" t="n">
        <f aca="false">IF(O17="","",O17/Calculator!$F$6)</f>
        <v>-0.367331596613896</v>
      </c>
    </row>
    <row r="18" customFormat="false" ht="15" hidden="false" customHeight="false" outlineLevel="0" collapsed="false">
      <c r="A18" s="0" t="n">
        <v>13</v>
      </c>
      <c r="B18" s="24" t="str">
        <f aca="false">IF(OR(N(Calculator!$B$6)=0,Calculator!$B$25=""),"",(Calculator!$B$25*Calculator!$B$11+Calculator!$B$26*Calculator!$B$12)*(1-Calculator!$B$19)^(13-1)*(1+Calculator!$B$13)^(13-1)-Calculator!$B$20*Calculator!$B$6-IF(13=Calculator!$B$22,Calculator!$B$21*Calculator!$B$6,0))</f>
        <v/>
      </c>
      <c r="C18" s="24" t="str">
        <f aca="false">IF(B18="","",C17+B18)</f>
        <v/>
      </c>
      <c r="D18" s="25" t="str">
        <f aca="false">IF(C18="","",C18/Calculator!$B$6)</f>
        <v/>
      </c>
      <c r="E18" s="24" t="n">
        <f aca="false">IF(OR(N(Calculator!$C$6)=0,Calculator!$C$25=""),"",(Calculator!$C$25*Calculator!$C$11+Calculator!$C$26*Calculator!$C$12)*(1-Calculator!$C$19)^(13-1)*(1+Calculator!$C$13)^(13-1)-Calculator!$C$20*Calculator!$C$6-IF(13=Calculator!$C$22,Calculator!$C$21*Calculator!$C$6,0))</f>
        <v>36089.472805082</v>
      </c>
      <c r="F18" s="24" t="n">
        <f aca="false">IF(E18="","",F17+E18)</f>
        <v>425837.150621195</v>
      </c>
      <c r="G18" s="25" t="n">
        <f aca="false">IF(F18="","",F18/Calculator!$C$6)</f>
        <v>3.54864292184329</v>
      </c>
      <c r="H18" s="24" t="n">
        <f aca="false">IF(OR(N(Calculator!$D$6)=0,Calculator!$D$25=""),"",(Calculator!$D$25*Calculator!$D$11+Calculator!$D$26*Calculator!$D$12)*(1-Calculator!$D$19)^(13-1)*(1+Calculator!$D$13)^(13-1)-Calculator!$D$20*Calculator!$D$6-IF(13=Calculator!$D$22,Calculator!$D$21*Calculator!$D$6,0))</f>
        <v>473.899046524574</v>
      </c>
      <c r="I18" s="24" t="n">
        <f aca="false">IF(H18="","",I17+H18)</f>
        <v>23257.6948825235</v>
      </c>
      <c r="J18" s="25" t="n">
        <f aca="false">IF(I18="","",I18/Calculator!$D$6)</f>
        <v>2.02240825065422</v>
      </c>
      <c r="K18" s="24" t="n">
        <f aca="false">IF(OR(N(Calculator!$E$6)=0,Calculator!$E$25=""),"",(Calculator!$E$25*Calculator!$E$11+Calculator!$E$26*Calculator!$E$12)*(1-Calculator!$E$19)^(13-1)*(1+Calculator!$E$13)^(13-1)-Calculator!$E$20*Calculator!$E$6-IF(13=Calculator!$E$22,Calculator!$E$21*Calculator!$E$6,0))</f>
        <v>-1145.2069455377</v>
      </c>
      <c r="L18" s="24" t="n">
        <f aca="false">IF(K18="","",L17+K18)</f>
        <v>7352.24741511821</v>
      </c>
      <c r="M18" s="25" t="n">
        <f aca="false">IF(L18="","",L18/Calculator!$E$6)</f>
        <v>0.565557493470632</v>
      </c>
      <c r="N18" s="24" t="n">
        <f aca="false">IF(OR(N(Calculator!$F$6)=0,Calculator!$F$25=""),"",(Calculator!$F$25*Calculator!$F$11+Calculator!$F$26*Calculator!$F$12)*(1-Calculator!$F$19)^(13-1)*(1+Calculator!$F$13)^(13-1)-Calculator!$F$20*Calculator!$F$6-IF(13=Calculator!$F$22,Calculator!$F$21*Calculator!$F$6,0))</f>
        <v>-5813.58690325152</v>
      </c>
      <c r="O18" s="24" t="n">
        <f aca="false">IF(N18="","",O17+N18)</f>
        <v>-17200.8663982823</v>
      </c>
      <c r="P18" s="25" t="n">
        <f aca="false">IF(O18="","",O18/Calculator!$F$6)</f>
        <v>-0.554866658009106</v>
      </c>
    </row>
    <row r="19" customFormat="false" ht="15" hidden="false" customHeight="false" outlineLevel="0" collapsed="false">
      <c r="A19" s="0" t="n">
        <v>14</v>
      </c>
      <c r="B19" s="24" t="str">
        <f aca="false">IF(OR(N(Calculator!$B$6)=0,Calculator!$B$25=""),"",(Calculator!$B$25*Calculator!$B$11+Calculator!$B$26*Calculator!$B$12)*(1-Calculator!$B$19)^(14-1)*(1+Calculator!$B$13)^(14-1)-Calculator!$B$20*Calculator!$B$6-IF(14=Calculator!$B$22,Calculator!$B$21*Calculator!$B$6,0))</f>
        <v/>
      </c>
      <c r="C19" s="24" t="str">
        <f aca="false">IF(B19="","",C18+B19)</f>
        <v/>
      </c>
      <c r="D19" s="25" t="str">
        <f aca="false">IF(C19="","",C19/Calculator!$B$6)</f>
        <v/>
      </c>
      <c r="E19" s="24" t="n">
        <f aca="false">IF(OR(N(Calculator!$C$6)=0,Calculator!$C$25=""),"",(Calculator!$C$25*Calculator!$C$11+Calculator!$C$26*Calculator!$C$12)*(1-Calculator!$C$19)^(14-1)*(1+Calculator!$C$13)^(14-1)-Calculator!$C$20*Calculator!$C$6-IF(14=Calculator!$C$22,Calculator!$C$21*Calculator!$C$6,0))</f>
        <v>71064.5074763412</v>
      </c>
      <c r="F19" s="24" t="n">
        <f aca="false">IF(E19="","",F18+E19)</f>
        <v>496901.658097536</v>
      </c>
      <c r="G19" s="25" t="n">
        <f aca="false">IF(F19="","",F19/Calculator!$C$6)</f>
        <v>4.1408471508128</v>
      </c>
      <c r="H19" s="24" t="n">
        <f aca="false">IF(OR(N(Calculator!$D$6)=0,Calculator!$D$25=""),"",(Calculator!$D$25*Calculator!$D$11+Calculator!$D$26*Calculator!$D$12)*(1-Calculator!$D$19)^(14-1)*(1+Calculator!$D$13)^(14-1)-Calculator!$D$20*Calculator!$D$6-IF(14=Calculator!$D$22,Calculator!$D$21*Calculator!$D$6,0))</f>
        <v>3433.54806283071</v>
      </c>
      <c r="I19" s="24" t="n">
        <f aca="false">IF(H19="","",I18+H19)</f>
        <v>26691.2429453542</v>
      </c>
      <c r="J19" s="25" t="n">
        <f aca="false">IF(I19="","",I19/Calculator!$D$6)</f>
        <v>2.32097764742211</v>
      </c>
      <c r="K19" s="24" t="n">
        <f aca="false">IF(OR(N(Calculator!$E$6)=0,Calculator!$E$25=""),"",(Calculator!$E$25*Calculator!$E$11+Calculator!$E$26*Calculator!$E$12)*(1-Calculator!$E$19)^(14-1)*(1+Calculator!$E$13)^(14-1)-Calculator!$E$20*Calculator!$E$6-IF(14=Calculator!$E$22,Calculator!$E$21*Calculator!$E$6,0))</f>
        <v>2158.71241186569</v>
      </c>
      <c r="L19" s="24" t="n">
        <f aca="false">IF(K19="","",L18+K19)</f>
        <v>9510.9598269839</v>
      </c>
      <c r="M19" s="25" t="n">
        <f aca="false">IF(L19="","",L19/Calculator!$E$6)</f>
        <v>0.731612294383377</v>
      </c>
      <c r="N19" s="24" t="n">
        <f aca="false">IF(OR(N(Calculator!$F$6)=0,Calculator!$F$25=""),"",(Calculator!$F$25*Calculator!$F$11+Calculator!$F$26*Calculator!$F$12)*(1-Calculator!$F$19)^(14-1)*(1+Calculator!$F$13)^(14-1)-Calculator!$F$20*Calculator!$F$6-IF(14=Calculator!$F$22,Calculator!$F$21*Calculator!$F$6,0))</f>
        <v>1988.38471220269</v>
      </c>
      <c r="O19" s="24" t="n">
        <f aca="false">IF(N19="","",O18+N19)</f>
        <v>-15212.4816860796</v>
      </c>
      <c r="P19" s="25" t="n">
        <f aca="false">IF(O19="","",O19/Calculator!$F$6)</f>
        <v>-0.490725215679987</v>
      </c>
    </row>
    <row r="20" customFormat="false" ht="15" hidden="false" customHeight="false" outlineLevel="0" collapsed="false">
      <c r="A20" s="0" t="n">
        <v>15</v>
      </c>
      <c r="B20" s="24" t="str">
        <f aca="false">IF(OR(N(Calculator!$B$6)=0,Calculator!$B$25=""),"",(Calculator!$B$25*Calculator!$B$11+Calculator!$B$26*Calculator!$B$12)*(1-Calculator!$B$19)^(15-1)*(1+Calculator!$B$13)^(15-1)-Calculator!$B$20*Calculator!$B$6-IF(15=Calculator!$B$22,Calculator!$B$21*Calculator!$B$6,0))</f>
        <v/>
      </c>
      <c r="C20" s="24" t="str">
        <f aca="false">IF(B20="","",C19+B20)</f>
        <v/>
      </c>
      <c r="D20" s="25" t="str">
        <f aca="false">IF(C20="","",C20/Calculator!$B$6)</f>
        <v/>
      </c>
      <c r="E20" s="24" t="n">
        <f aca="false">IF(OR(N(Calculator!$C$6)=0,Calculator!$C$25=""),"",(Calculator!$C$25*Calculator!$C$11+Calculator!$C$26*Calculator!$C$12)*(1-Calculator!$C$19)^(15-1)*(1+Calculator!$C$13)^(15-1)-Calculator!$C$20*Calculator!$C$6-IF(15=Calculator!$C$22,Calculator!$C$21*Calculator!$C$6,0))</f>
        <v>76410.6797340762</v>
      </c>
      <c r="F20" s="24" t="n">
        <f aca="false">IF(E20="","",F19+E20)</f>
        <v>573312.337831612</v>
      </c>
      <c r="G20" s="25" t="n">
        <f aca="false">IF(F20="","",F20/Calculator!$C$6)</f>
        <v>4.77760281526344</v>
      </c>
      <c r="H20" s="24" t="n">
        <f aca="false">IF(OR(N(Calculator!$D$6)=0,Calculator!$D$25=""),"",(Calculator!$D$25*Calculator!$D$11+Calculator!$D$26*Calculator!$D$12)*(1-Calculator!$D$19)^(15-1)*(1+Calculator!$D$13)^(15-1)-Calculator!$D$20*Calculator!$D$6-IF(15=Calculator!$D$22,Calculator!$D$21*Calculator!$D$6,0))</f>
        <v>3520.30060719205</v>
      </c>
      <c r="I20" s="24" t="n">
        <f aca="false">IF(H20="","",I19+H20)</f>
        <v>30211.5435525463</v>
      </c>
      <c r="J20" s="25" t="n">
        <f aca="false">IF(I20="","",I20/Calculator!$D$6)</f>
        <v>2.62709074369968</v>
      </c>
      <c r="K20" s="24" t="n">
        <f aca="false">IF(OR(N(Calculator!$E$6)=0,Calculator!$E$25=""),"",(Calculator!$E$25*Calculator!$E$11+Calculator!$E$26*Calculator!$E$12)*(1-Calculator!$E$19)^(15-1)*(1+Calculator!$E$13)^(15-1)-Calculator!$E$20*Calculator!$E$6-IF(15=Calculator!$E$22,Calculator!$E$21*Calculator!$E$6,0))</f>
        <v>2213.97166530055</v>
      </c>
      <c r="L20" s="24" t="n">
        <f aca="false">IF(K20="","",L19+K20)</f>
        <v>11724.9314922845</v>
      </c>
      <c r="M20" s="25" t="n">
        <f aca="false">IF(L20="","",L20/Calculator!$E$6)</f>
        <v>0.901917807098804</v>
      </c>
      <c r="N20" s="24" t="n">
        <f aca="false">IF(OR(N(Calculator!$F$6)=0,Calculator!$F$25=""),"",(Calculator!$F$25*Calculator!$F$11+Calculator!$F$26*Calculator!$F$12)*(1-Calculator!$F$19)^(15-1)*(1+Calculator!$F$13)^(15-1)-Calculator!$F$20*Calculator!$F$6-IF(15=Calculator!$F$22,Calculator!$F$21*Calculator!$F$6,0))</f>
        <v>2041.64782230092</v>
      </c>
      <c r="O20" s="24" t="n">
        <f aca="false">IF(N20="","",O19+N20)</f>
        <v>-13170.8338637787</v>
      </c>
      <c r="P20" s="25" t="n">
        <f aca="false">IF(O20="","",O20/Calculator!$F$6)</f>
        <v>-0.42486560850899</v>
      </c>
    </row>
    <row r="21" customFormat="false" ht="15" hidden="false" customHeight="false" outlineLevel="0" collapsed="false">
      <c r="A21" s="0" t="n">
        <v>16</v>
      </c>
      <c r="B21" s="24" t="str">
        <f aca="false">IF(OR(N(Calculator!$B$6)=0,Calculator!$B$25=""),"",(Calculator!$B$25*Calculator!$B$11+Calculator!$B$26*Calculator!$B$12)*(1-Calculator!$B$19)^(16-1)*(1+Calculator!$B$13)^(16-1)-Calculator!$B$20*Calculator!$B$6-IF(16=Calculator!$B$22,Calculator!$B$21*Calculator!$B$6,0))</f>
        <v/>
      </c>
      <c r="C21" s="24" t="str">
        <f aca="false">IF(B21="","",C20+B21)</f>
        <v/>
      </c>
      <c r="D21" s="25" t="str">
        <f aca="false">IF(C21="","",C21/Calculator!$B$6)</f>
        <v/>
      </c>
      <c r="E21" s="24" t="n">
        <f aca="false">IF(OR(N(Calculator!$C$6)=0,Calculator!$C$25=""),"",(Calculator!$C$25*Calculator!$C$11+Calculator!$C$26*Calculator!$C$12)*(1-Calculator!$C$19)^(16-1)*(1+Calculator!$C$13)^(16-1)-Calculator!$C$20*Calculator!$C$6-IF(16=Calculator!$C$22,Calculator!$C$21*Calculator!$C$6,0))</f>
        <v>82155.6764422383</v>
      </c>
      <c r="F21" s="24" t="n">
        <f aca="false">IF(E21="","",F20+E21)</f>
        <v>655468.014273851</v>
      </c>
      <c r="G21" s="25" t="n">
        <f aca="false">IF(F21="","",F21/Calculator!$C$6)</f>
        <v>5.46223345228209</v>
      </c>
      <c r="H21" s="24" t="n">
        <f aca="false">IF(OR(N(Calculator!$D$6)=0,Calculator!$D$25=""),"",(Calculator!$D$25*Calculator!$D$11+Calculator!$D$26*Calculator!$D$12)*(1-Calculator!$D$19)^(16-1)*(1+Calculator!$D$13)^(16-1)-Calculator!$D$20*Calculator!$D$6-IF(16=Calculator!$D$22,Calculator!$D$21*Calculator!$D$6,0))</f>
        <v>3609.20895228078</v>
      </c>
      <c r="I21" s="24" t="n">
        <f aca="false">IF(H21="","",I20+H21)</f>
        <v>33820.7525048271</v>
      </c>
      <c r="J21" s="25" t="n">
        <f aca="false">IF(I21="","",I21/Calculator!$D$6)</f>
        <v>2.94093500041974</v>
      </c>
      <c r="K21" s="24" t="n">
        <f aca="false">IF(OR(N(Calculator!$E$6)=0,Calculator!$E$25=""),"",(Calculator!$E$25*Calculator!$E$11+Calculator!$E$26*Calculator!$E$12)*(1-Calculator!$E$19)^(16-1)*(1+Calculator!$E$13)^(16-1)-Calculator!$E$20*Calculator!$E$6-IF(16=Calculator!$E$22,Calculator!$E$21*Calculator!$E$6,0))</f>
        <v>2270.60411118327</v>
      </c>
      <c r="L21" s="24" t="n">
        <f aca="false">IF(K21="","",L20+K21)</f>
        <v>13995.5356034677</v>
      </c>
      <c r="M21" s="25" t="n">
        <f aca="false">IF(L21="","",L21/Calculator!$E$6)</f>
        <v>1.07657966180521</v>
      </c>
      <c r="N21" s="24" t="n">
        <f aca="false">IF(OR(N(Calculator!$F$6)=0,Calculator!$F$25=""),"",(Calculator!$F$25*Calculator!$F$11+Calculator!$F$26*Calculator!$F$12)*(1-Calculator!$F$19)^(16-1)*(1+Calculator!$F$13)^(16-1)-Calculator!$F$20*Calculator!$F$6-IF(16=Calculator!$F$22,Calculator!$F$21*Calculator!$F$6,0))</f>
        <v>2096.2345206851</v>
      </c>
      <c r="O21" s="24" t="n">
        <f aca="false">IF(N21="","",O20+N21)</f>
        <v>-11074.5993430936</v>
      </c>
      <c r="P21" s="25" t="n">
        <f aca="false">IF(O21="","",O21/Calculator!$F$6)</f>
        <v>-0.357245140099793</v>
      </c>
    </row>
    <row r="22" customFormat="false" ht="15" hidden="false" customHeight="false" outlineLevel="0" collapsed="false">
      <c r="A22" s="0" t="n">
        <v>17</v>
      </c>
      <c r="B22" s="24" t="str">
        <f aca="false">IF(OR(N(Calculator!$B$6)=0,Calculator!$B$25=""),"",(Calculator!$B$25*Calculator!$B$11+Calculator!$B$26*Calculator!$B$12)*(1-Calculator!$B$19)^(17-1)*(1+Calculator!$B$13)^(17-1)-Calculator!$B$20*Calculator!$B$6-IF(17=Calculator!$B$22,Calculator!$B$21*Calculator!$B$6,0))</f>
        <v/>
      </c>
      <c r="C22" s="24" t="str">
        <f aca="false">IF(B22="","",C21+B22)</f>
        <v/>
      </c>
      <c r="D22" s="25" t="str">
        <f aca="false">IF(C22="","",C22/Calculator!$B$6)</f>
        <v/>
      </c>
      <c r="E22" s="24" t="n">
        <f aca="false">IF(OR(N(Calculator!$C$6)=0,Calculator!$C$25=""),"",(Calculator!$C$25*Calculator!$C$11+Calculator!$C$26*Calculator!$C$12)*(1-Calculator!$C$19)^(17-1)*(1+Calculator!$C$13)^(17-1)-Calculator!$C$20*Calculator!$C$6-IF(17=Calculator!$C$22,Calculator!$C$21*Calculator!$C$6,0))</f>
        <v>88329.2499048293</v>
      </c>
      <c r="F22" s="24" t="n">
        <f aca="false">IF(E22="","",F21+E22)</f>
        <v>743797.26417868</v>
      </c>
      <c r="G22" s="25" t="n">
        <f aca="false">IF(F22="","",F22/Calculator!$C$6)</f>
        <v>6.19831053482233</v>
      </c>
      <c r="H22" s="24" t="n">
        <f aca="false">IF(OR(N(Calculator!$D$6)=0,Calculator!$D$25=""),"",(Calculator!$D$25*Calculator!$D$11+Calculator!$D$26*Calculator!$D$12)*(1-Calculator!$D$19)^(17-1)*(1+Calculator!$D$13)^(17-1)-Calculator!$D$20*Calculator!$D$6-IF(17=Calculator!$D$22,Calculator!$D$21*Calculator!$D$6,0))</f>
        <v>3700.32666974495</v>
      </c>
      <c r="I22" s="24" t="n">
        <f aca="false">IF(H22="","",I21+H22)</f>
        <v>37521.079174572</v>
      </c>
      <c r="J22" s="25" t="n">
        <f aca="false">IF(I22="","",I22/Calculator!$D$6)</f>
        <v>3.26270253691931</v>
      </c>
      <c r="K22" s="24" t="n">
        <f aca="false">IF(OR(N(Calculator!$E$6)=0,Calculator!$E$25=""),"",(Calculator!$E$25*Calculator!$E$11+Calculator!$E$26*Calculator!$E$12)*(1-Calculator!$E$19)^(17-1)*(1+Calculator!$E$13)^(17-1)-Calculator!$E$20*Calculator!$E$6-IF(17=Calculator!$E$22,Calculator!$E$21*Calculator!$E$6,0))</f>
        <v>2328.64387334617</v>
      </c>
      <c r="L22" s="24" t="n">
        <f aca="false">IF(K22="","",L21+K22)</f>
        <v>16324.1794768139</v>
      </c>
      <c r="M22" s="25" t="n">
        <f aca="false">IF(L22="","",L22/Calculator!$E$6)</f>
        <v>1.25570611360107</v>
      </c>
      <c r="N22" s="24" t="n">
        <f aca="false">IF(OR(N(Calculator!$F$6)=0,Calculator!$F$25=""),"",(Calculator!$F$25*Calculator!$F$11+Calculator!$F$26*Calculator!$F$12)*(1-Calculator!$F$19)^(17-1)*(1+Calculator!$F$13)^(17-1)-Calculator!$F$20*Calculator!$F$6-IF(17=Calculator!$F$22,Calculator!$F$21*Calculator!$F$6,0))</f>
        <v>2152.17769852413</v>
      </c>
      <c r="O22" s="24" t="n">
        <f aca="false">IF(N22="","",O21+N22)</f>
        <v>-8922.42164456946</v>
      </c>
      <c r="P22" s="25" t="n">
        <f aca="false">IF(O22="","",O22/Calculator!$F$6)</f>
        <v>-0.287820053050628</v>
      </c>
    </row>
    <row r="23" customFormat="false" ht="15" hidden="false" customHeight="false" outlineLevel="0" collapsed="false">
      <c r="A23" s="0" t="n">
        <v>18</v>
      </c>
      <c r="B23" s="24" t="str">
        <f aca="false">IF(OR(N(Calculator!$B$6)=0,Calculator!$B$25=""),"",(Calculator!$B$25*Calculator!$B$11+Calculator!$B$26*Calculator!$B$12)*(1-Calculator!$B$19)^(18-1)*(1+Calculator!$B$13)^(18-1)-Calculator!$B$20*Calculator!$B$6-IF(18=Calculator!$B$22,Calculator!$B$21*Calculator!$B$6,0))</f>
        <v/>
      </c>
      <c r="C23" s="24" t="str">
        <f aca="false">IF(B23="","",C22+B23)</f>
        <v/>
      </c>
      <c r="D23" s="25" t="str">
        <f aca="false">IF(C23="","",C23/Calculator!$B$6)</f>
        <v/>
      </c>
      <c r="E23" s="24" t="n">
        <f aca="false">IF(OR(N(Calculator!$C$6)=0,Calculator!$C$25=""),"",(Calculator!$C$25*Calculator!$C$11+Calculator!$C$26*Calculator!$C$12)*(1-Calculator!$C$19)^(18-1)*(1+Calculator!$C$13)^(18-1)-Calculator!$C$20*Calculator!$C$6-IF(18=Calculator!$C$22,Calculator!$C$21*Calculator!$C$6,0))</f>
        <v>94963.3719477296</v>
      </c>
      <c r="F23" s="24" t="n">
        <f aca="false">IF(E23="","",F22+E23)</f>
        <v>838760.63612641</v>
      </c>
      <c r="G23" s="25" t="n">
        <f aca="false">IF(F23="","",F23/Calculator!$C$6)</f>
        <v>6.98967196772008</v>
      </c>
      <c r="H23" s="24" t="n">
        <f aca="false">IF(OR(N(Calculator!$D$6)=0,Calculator!$D$25=""),"",(Calculator!$D$25*Calculator!$D$11+Calculator!$D$26*Calculator!$D$12)*(1-Calculator!$D$19)^(18-1)*(1+Calculator!$D$13)^(18-1)-Calculator!$D$20*Calculator!$D$6-IF(18=Calculator!$D$22,Calculator!$D$21*Calculator!$D$6,0))</f>
        <v>3793.70866248812</v>
      </c>
      <c r="I23" s="24" t="n">
        <f aca="false">IF(H23="","",I22+H23)</f>
        <v>41314.7878370601</v>
      </c>
      <c r="J23" s="25" t="n">
        <f aca="false">IF(I23="","",I23/Calculator!$D$6)</f>
        <v>3.59259024670088</v>
      </c>
      <c r="K23" s="24" t="n">
        <f aca="false">IF(OR(N(Calculator!$E$6)=0,Calculator!$E$25=""),"",(Calculator!$E$25*Calculator!$E$11+Calculator!$E$26*Calculator!$E$12)*(1-Calculator!$E$19)^(18-1)*(1+Calculator!$E$13)^(18-1)-Calculator!$E$20*Calculator!$E$6-IF(18=Calculator!$E$22,Calculator!$E$21*Calculator!$E$6,0))</f>
        <v>2388.12592359883</v>
      </c>
      <c r="L23" s="24" t="n">
        <f aca="false">IF(K23="","",L22+K23)</f>
        <v>18712.3054004127</v>
      </c>
      <c r="M23" s="25" t="n">
        <f aca="false">IF(L23="","",L23/Calculator!$E$6)</f>
        <v>1.43940810772406</v>
      </c>
      <c r="N23" s="24" t="n">
        <f aca="false">IF(OR(N(Calculator!$F$6)=0,Calculator!$F$25=""),"",(Calculator!$F$25*Calculator!$F$11+Calculator!$F$26*Calculator!$F$12)*(1-Calculator!$F$19)^(18-1)*(1+Calculator!$F$13)^(18-1)-Calculator!$F$20*Calculator!$F$6-IF(18=Calculator!$F$22,Calculator!$F$21*Calculator!$F$6,0))</f>
        <v>2209.51106433245</v>
      </c>
      <c r="O23" s="24" t="n">
        <f aca="false">IF(N23="","",O22+N23)</f>
        <v>-6712.91058023701</v>
      </c>
      <c r="P23" s="25" t="n">
        <f aca="false">IF(O23="","",O23/Calculator!$F$6)</f>
        <v>-0.216545502588291</v>
      </c>
    </row>
    <row r="24" customFormat="false" ht="15" hidden="false" customHeight="false" outlineLevel="0" collapsed="false">
      <c r="A24" s="0" t="n">
        <v>19</v>
      </c>
      <c r="B24" s="24" t="str">
        <f aca="false">IF(OR(N(Calculator!$B$6)=0,Calculator!$B$25=""),"",(Calculator!$B$25*Calculator!$B$11+Calculator!$B$26*Calculator!$B$12)*(1-Calculator!$B$19)^(19-1)*(1+Calculator!$B$13)^(19-1)-Calculator!$B$20*Calculator!$B$6-IF(19=Calculator!$B$22,Calculator!$B$21*Calculator!$B$6,0))</f>
        <v/>
      </c>
      <c r="C24" s="24" t="str">
        <f aca="false">IF(B24="","",C23+B24)</f>
        <v/>
      </c>
      <c r="D24" s="25" t="str">
        <f aca="false">IF(C24="","",C24/Calculator!$B$6)</f>
        <v/>
      </c>
      <c r="E24" s="24" t="n">
        <f aca="false">IF(OR(N(Calculator!$C$6)=0,Calculator!$C$25=""),"",(Calculator!$C$25*Calculator!$C$11+Calculator!$C$26*Calculator!$C$12)*(1-Calculator!$C$19)^(19-1)*(1+Calculator!$C$13)^(19-1)-Calculator!$C$20*Calculator!$C$6-IF(19=Calculator!$C$22,Calculator!$C$21*Calculator!$C$6,0))</f>
        <v>102092.39949503</v>
      </c>
      <c r="F24" s="24" t="n">
        <f aca="false">IF(E24="","",F23+E24)</f>
        <v>940853.03562144</v>
      </c>
      <c r="G24" s="25" t="n">
        <f aca="false">IF(F24="","",F24/Calculator!$C$6)</f>
        <v>7.840441963512</v>
      </c>
      <c r="H24" s="24" t="n">
        <f aca="false">IF(OR(N(Calculator!$D$6)=0,Calculator!$D$25=""),"",(Calculator!$D$25*Calculator!$D$11+Calculator!$D$26*Calculator!$D$12)*(1-Calculator!$D$19)^(19-1)*(1+Calculator!$D$13)^(19-1)-Calculator!$D$20*Calculator!$D$6-IF(19=Calculator!$D$22,Calculator!$D$21*Calculator!$D$6,0))</f>
        <v>3889.41119775095</v>
      </c>
      <c r="I24" s="24" t="n">
        <f aca="false">IF(H24="","",I23+H24)</f>
        <v>45204.1990348111</v>
      </c>
      <c r="J24" s="25" t="n">
        <f aca="false">IF(I24="","",I24/Calculator!$D$6)</f>
        <v>3.93079991607053</v>
      </c>
      <c r="K24" s="24" t="n">
        <f aca="false">IF(OR(N(Calculator!$E$6)=0,Calculator!$E$25=""),"",(Calculator!$E$25*Calculator!$E$11+Calculator!$E$26*Calculator!$E$12)*(1-Calculator!$E$19)^(19-1)*(1+Calculator!$E$13)^(19-1)-Calculator!$E$20*Calculator!$E$6-IF(19=Calculator!$E$22,Calculator!$E$21*Calculator!$E$6,0))</f>
        <v>2449.08610280026</v>
      </c>
      <c r="L24" s="24" t="n">
        <f aca="false">IF(K24="","",L23+K24)</f>
        <v>21161.391503213</v>
      </c>
      <c r="M24" s="25" t="n">
        <f aca="false">IF(L24="","",L24/Calculator!$E$6)</f>
        <v>1.627799346401</v>
      </c>
      <c r="N24" s="24" t="n">
        <f aca="false">IF(OR(N(Calculator!$F$6)=0,Calculator!$F$25=""),"",(Calculator!$F$25*Calculator!$F$11+Calculator!$F$26*Calculator!$F$12)*(1-Calculator!$F$19)^(19-1)*(1+Calculator!$F$13)^(19-1)-Calculator!$F$20*Calculator!$F$6-IF(19=Calculator!$F$22,Calculator!$F$21*Calculator!$F$6,0))</f>
        <v>2268.26916428111</v>
      </c>
      <c r="O24" s="24" t="n">
        <f aca="false">IF(N24="","",O23+N24)</f>
        <v>-4444.6414159559</v>
      </c>
      <c r="P24" s="25" t="n">
        <f aca="false">IF(O24="","",O24/Calculator!$F$6)</f>
        <v>-0.143375529546964</v>
      </c>
    </row>
    <row r="25" customFormat="false" ht="15" hidden="false" customHeight="false" outlineLevel="0" collapsed="false">
      <c r="A25" s="0" t="n">
        <v>20</v>
      </c>
      <c r="B25" s="24" t="str">
        <f aca="false">IF(OR(N(Calculator!$B$6)=0,Calculator!$B$25=""),"",(Calculator!$B$25*Calculator!$B$11+Calculator!$B$26*Calculator!$B$12)*(1-Calculator!$B$19)^(20-1)*(1+Calculator!$B$13)^(20-1)-Calculator!$B$20*Calculator!$B$6-IF(20=Calculator!$B$22,Calculator!$B$21*Calculator!$B$6,0))</f>
        <v/>
      </c>
      <c r="C25" s="24" t="str">
        <f aca="false">IF(B25="","",C24+B25)</f>
        <v/>
      </c>
      <c r="D25" s="25" t="str">
        <f aca="false">IF(C25="","",C25/Calculator!$B$6)</f>
        <v/>
      </c>
      <c r="E25" s="24" t="n">
        <f aca="false">IF(OR(N(Calculator!$C$6)=0,Calculator!$C$25=""),"",(Calculator!$C$25*Calculator!$C$11+Calculator!$C$26*Calculator!$C$12)*(1-Calculator!$C$19)^(20-1)*(1+Calculator!$C$13)^(20-1)-Calculator!$C$20*Calculator!$C$6-IF(20=Calculator!$C$22,Calculator!$C$21*Calculator!$C$6,0))</f>
        <v>109753.252497359</v>
      </c>
      <c r="F25" s="24" t="n">
        <f aca="false">IF(E25="","",F24+E25)</f>
        <v>1050606.2881188</v>
      </c>
      <c r="G25" s="25" t="n">
        <f aca="false">IF(F25="","",F25/Calculator!$C$6)</f>
        <v>8.75505240098999</v>
      </c>
      <c r="H25" s="24" t="n">
        <f aca="false">IF(OR(N(Calculator!$D$6)=0,Calculator!$D$25=""),"",(Calculator!$D$25*Calculator!$D$11+Calculator!$D$26*Calculator!$D$12)*(1-Calculator!$D$19)^(20-1)*(1+Calculator!$D$13)^(20-1)-Calculator!$D$20*Calculator!$D$6-IF(20=Calculator!$D$22,Calculator!$D$21*Calculator!$D$6,0))</f>
        <v>3987.49194101506</v>
      </c>
      <c r="I25" s="24" t="n">
        <f aca="false">IF(H25="","",I24+H25)</f>
        <v>49191.6909758261</v>
      </c>
      <c r="J25" s="25" t="n">
        <f aca="false">IF(I25="","",I25/Calculator!$D$6)</f>
        <v>4.27753834572401</v>
      </c>
      <c r="K25" s="24" t="n">
        <f aca="false">IF(OR(N(Calculator!$E$6)=0,Calculator!$E$25=""),"",(Calculator!$E$25*Calculator!$E$11+Calculator!$E$26*Calculator!$E$12)*(1-Calculator!$E$19)^(20-1)*(1+Calculator!$E$13)^(20-1)-Calculator!$E$20*Calculator!$E$6-IF(20=Calculator!$E$22,Calculator!$E$21*Calculator!$E$6,0))</f>
        <v>2511.56114245484</v>
      </c>
      <c r="L25" s="24" t="n">
        <f aca="false">IF(K25="","",L24+K25)</f>
        <v>23672.9526456678</v>
      </c>
      <c r="M25" s="25" t="n">
        <f aca="false">IF(L25="","",L25/Calculator!$E$6)</f>
        <v>1.82099635735906</v>
      </c>
      <c r="N25" s="24" t="n">
        <f aca="false">IF(OR(N(Calculator!$F$6)=0,Calculator!$F$25=""),"",(Calculator!$F$25*Calculator!$F$11+Calculator!$F$26*Calculator!$F$12)*(1-Calculator!$F$19)^(20-1)*(1+Calculator!$F$13)^(20-1)-Calculator!$F$20*Calculator!$F$6-IF(20=Calculator!$F$22,Calculator!$F$21*Calculator!$F$6,0))</f>
        <v>2328.4874030135</v>
      </c>
      <c r="O25" s="24" t="n">
        <f aca="false">IF(N25="","",O24+N25)</f>
        <v>-2116.1540129424</v>
      </c>
      <c r="P25" s="25" t="n">
        <f aca="false">IF(O25="","",O25/Calculator!$F$6)</f>
        <v>-0.0682630326755613</v>
      </c>
    </row>
    <row r="26" customFormat="false" ht="15" hidden="false" customHeight="false" outlineLevel="0" collapsed="false">
      <c r="A26" s="0" t="n">
        <v>21</v>
      </c>
      <c r="B26" s="24" t="str">
        <f aca="false">IF(OR(N(Calculator!$B$6)=0,Calculator!$B$25=""),"",(Calculator!$B$25*Calculator!$B$11+Calculator!$B$26*Calculator!$B$12)*(1-Calculator!$B$19)^(21-1)*(1+Calculator!$B$13)^(21-1)-Calculator!$B$20*Calculator!$B$6-IF(21=Calculator!$B$22,Calculator!$B$21*Calculator!$B$6,0))</f>
        <v/>
      </c>
      <c r="C26" s="24" t="str">
        <f aca="false">IF(B26="","",C25+B26)</f>
        <v/>
      </c>
      <c r="D26" s="25" t="str">
        <f aca="false">IF(C26="","",C26/Calculator!$B$6)</f>
        <v/>
      </c>
      <c r="E26" s="24" t="n">
        <f aca="false">IF(OR(N(Calculator!$C$6)=0,Calculator!$C$25=""),"",(Calculator!$C$25*Calculator!$C$11+Calculator!$C$26*Calculator!$C$12)*(1-Calculator!$C$19)^(21-1)*(1+Calculator!$C$13)^(21-1)-Calculator!$C$20*Calculator!$C$6-IF(21=Calculator!$C$22,Calculator!$C$21*Calculator!$C$6,0))</f>
        <v>117985.605133663</v>
      </c>
      <c r="F26" s="24" t="n">
        <f aca="false">IF(E26="","",F25+E26)</f>
        <v>1168591.89325246</v>
      </c>
      <c r="G26" s="25" t="n">
        <f aca="false">IF(F26="","",F26/Calculator!$C$6)</f>
        <v>9.73826577710385</v>
      </c>
      <c r="H26" s="24" t="n">
        <f aca="false">IF(OR(N(Calculator!$D$6)=0,Calculator!$D$25=""),"",(Calculator!$D$25*Calculator!$D$11+Calculator!$D$26*Calculator!$D$12)*(1-Calculator!$D$19)^(21-1)*(1+Calculator!$D$13)^(21-1)-Calculator!$D$20*Calculator!$D$6-IF(21=Calculator!$D$22,Calculator!$D$21*Calculator!$D$6,0))</f>
        <v>4088.00999074928</v>
      </c>
      <c r="I26" s="24" t="n">
        <f aca="false">IF(H26="","",I25+H26)</f>
        <v>53279.7009665754</v>
      </c>
      <c r="J26" s="25" t="n">
        <f aca="false">IF(I26="","",I26/Calculator!$D$6)</f>
        <v>4.63301747535438</v>
      </c>
      <c r="K26" s="24" t="n">
        <f aca="false">IF(OR(N(Calculator!$E$6)=0,Calculator!$E$25=""),"",(Calculator!$E$25*Calculator!$E$11+Calculator!$E$26*Calculator!$E$12)*(1-Calculator!$E$19)^(21-1)*(1+Calculator!$E$13)^(21-1)-Calculator!$E$20*Calculator!$E$6-IF(21=Calculator!$E$22,Calculator!$E$21*Calculator!$E$6,0))</f>
        <v>2575.58868684485</v>
      </c>
      <c r="L26" s="24" t="n">
        <f aca="false">IF(K26="","",L25+K26)</f>
        <v>26248.5413325127</v>
      </c>
      <c r="M26" s="25" t="n">
        <f aca="false">IF(L26="","",L26/Calculator!$E$6)</f>
        <v>2.01911856403944</v>
      </c>
      <c r="N26" s="24" t="n">
        <f aca="false">IF(OR(N(Calculator!$F$6)=0,Calculator!$F$25=""),"",(Calculator!$F$25*Calculator!$F$11+Calculator!$F$26*Calculator!$F$12)*(1-Calculator!$F$19)^(21-1)*(1+Calculator!$F$13)^(21-1)-Calculator!$F$20*Calculator!$F$6-IF(21=Calculator!$F$22,Calculator!$F$21*Calculator!$F$6,0))</f>
        <v>2390.20206497838</v>
      </c>
      <c r="O26" s="24" t="n">
        <f aca="false">IF(N26="","",O25+N26)</f>
        <v>274.048052035982</v>
      </c>
      <c r="P26" s="25" t="n">
        <f aca="false">IF(O26="","",O26/Calculator!$F$6)</f>
        <v>0.00884025974309618</v>
      </c>
    </row>
    <row r="27" customFormat="false" ht="15" hidden="false" customHeight="false" outlineLevel="0" collapsed="false">
      <c r="A27" s="0" t="n">
        <v>22</v>
      </c>
      <c r="B27" s="24" t="str">
        <f aca="false">IF(OR(N(Calculator!$B$6)=0,Calculator!$B$25=""),"",(Calculator!$B$25*Calculator!$B$11+Calculator!$B$26*Calculator!$B$12)*(1-Calculator!$B$19)^(22-1)*(1+Calculator!$B$13)^(22-1)-Calculator!$B$20*Calculator!$B$6-IF(22=Calculator!$B$22,Calculator!$B$21*Calculator!$B$6,0))</f>
        <v/>
      </c>
      <c r="C27" s="24" t="str">
        <f aca="false">IF(B27="","",C26+B27)</f>
        <v/>
      </c>
      <c r="D27" s="25" t="str">
        <f aca="false">IF(C27="","",C27/Calculator!$B$6)</f>
        <v/>
      </c>
      <c r="E27" s="24" t="n">
        <f aca="false">IF(OR(N(Calculator!$C$6)=0,Calculator!$C$25=""),"",(Calculator!$C$25*Calculator!$C$11+Calculator!$C$26*Calculator!$C$12)*(1-Calculator!$C$19)^(22-1)*(1+Calculator!$C$13)^(22-1)-Calculator!$C$20*Calculator!$C$6-IF(22=Calculator!$C$22,Calculator!$C$21*Calculator!$C$6,0))</f>
        <v>126832.091276634</v>
      </c>
      <c r="F27" s="24" t="n">
        <f aca="false">IF(E27="","",F26+E27)</f>
        <v>1295423.9845291</v>
      </c>
      <c r="G27" s="25" t="n">
        <f aca="false">IF(F27="","",F27/Calculator!$C$6)</f>
        <v>10.7951998710758</v>
      </c>
      <c r="H27" s="24" t="n">
        <f aca="false">IF(OR(N(Calculator!$D$6)=0,Calculator!$D$25=""),"",(Calculator!$D$25*Calculator!$D$11+Calculator!$D$26*Calculator!$D$12)*(1-Calculator!$D$19)^(22-1)*(1+Calculator!$D$13)^(22-1)-Calculator!$D$20*Calculator!$D$6-IF(22=Calculator!$D$22,Calculator!$D$21*Calculator!$D$6,0))</f>
        <v>4191.0259140194</v>
      </c>
      <c r="I27" s="24" t="n">
        <f aca="false">IF(H27="","",I26+H27)</f>
        <v>57470.7268805948</v>
      </c>
      <c r="J27" s="25" t="n">
        <f aca="false">IF(I27="","",I27/Calculator!$D$6)</f>
        <v>4.99745451135607</v>
      </c>
      <c r="K27" s="24" t="n">
        <f aca="false">IF(OR(N(Calculator!$E$6)=0,Calculator!$E$25=""),"",(Calculator!$E$25*Calculator!$E$11+Calculator!$E$26*Calculator!$E$12)*(1-Calculator!$E$19)^(22-1)*(1+Calculator!$E$13)^(22-1)-Calculator!$E$20*Calculator!$E$6-IF(22=Calculator!$E$22,Calculator!$E$21*Calculator!$E$6,0))</f>
        <v>2641.20731571294</v>
      </c>
      <c r="L27" s="24" t="n">
        <f aca="false">IF(K27="","",L26+K27)</f>
        <v>28889.7486482256</v>
      </c>
      <c r="M27" s="25" t="n">
        <f aca="false">IF(L27="","",L27/Calculator!$E$6)</f>
        <v>2.22228835755582</v>
      </c>
      <c r="N27" s="24" t="n">
        <f aca="false">IF(OR(N(Calculator!$F$6)=0,Calculator!$F$25=""),"",(Calculator!$F$25*Calculator!$F$11+Calculator!$F$26*Calculator!$F$12)*(1-Calculator!$F$19)^(22-1)*(1+Calculator!$F$13)^(22-1)-Calculator!$F$20*Calculator!$F$6-IF(22=Calculator!$F$22,Calculator!$F$21*Calculator!$F$6,0))</f>
        <v>2453.45033629309</v>
      </c>
      <c r="O27" s="24" t="n">
        <f aca="false">IF(N27="","",O26+N27)</f>
        <v>2727.49838832908</v>
      </c>
      <c r="P27" s="25" t="n">
        <f aca="false">IF(O27="","",O27/Calculator!$F$6)</f>
        <v>0.0879838189783573</v>
      </c>
    </row>
    <row r="28" customFormat="false" ht="15" hidden="false" customHeight="false" outlineLevel="0" collapsed="false">
      <c r="A28" s="0" t="n">
        <v>23</v>
      </c>
      <c r="B28" s="24" t="str">
        <f aca="false">IF(OR(N(Calculator!$B$6)=0,Calculator!$B$25=""),"",(Calculator!$B$25*Calculator!$B$11+Calculator!$B$26*Calculator!$B$12)*(1-Calculator!$B$19)^(23-1)*(1+Calculator!$B$13)^(23-1)-Calculator!$B$20*Calculator!$B$6-IF(23=Calculator!$B$22,Calculator!$B$21*Calculator!$B$6,0))</f>
        <v/>
      </c>
      <c r="C28" s="24" t="str">
        <f aca="false">IF(B28="","",C27+B28)</f>
        <v/>
      </c>
      <c r="D28" s="25" t="str">
        <f aca="false">IF(C28="","",C28/Calculator!$B$6)</f>
        <v/>
      </c>
      <c r="E28" s="24" t="n">
        <f aca="false">IF(OR(N(Calculator!$C$6)=0,Calculator!$C$25=""),"",(Calculator!$C$25*Calculator!$C$11+Calculator!$C$26*Calculator!$C$12)*(1-Calculator!$C$19)^(23-1)*(1+Calculator!$C$13)^(23-1)-Calculator!$C$20*Calculator!$C$6-IF(23=Calculator!$C$22,Calculator!$C$21*Calculator!$C$6,0))</f>
        <v>136338.525285871</v>
      </c>
      <c r="F28" s="24" t="n">
        <f aca="false">IF(E28="","",F27+E28)</f>
        <v>1431762.50981497</v>
      </c>
      <c r="G28" s="25" t="n">
        <f aca="false">IF(F28="","",F28/Calculator!$C$6)</f>
        <v>11.9313542484581</v>
      </c>
      <c r="H28" s="24" t="n">
        <f aca="false">IF(OR(N(Calculator!$D$6)=0,Calculator!$D$25=""),"",(Calculator!$D$25*Calculator!$D$11+Calculator!$D$26*Calculator!$D$12)*(1-Calculator!$D$19)^(23-1)*(1+Calculator!$D$13)^(23-1)-Calculator!$D$20*Calculator!$D$6-IF(23=Calculator!$D$22,Calculator!$D$21*Calculator!$D$6,0))</f>
        <v>4296.60178298278</v>
      </c>
      <c r="I28" s="24" t="n">
        <f aca="false">IF(H28="","",I27+H28)</f>
        <v>61767.3286635776</v>
      </c>
      <c r="J28" s="25" t="n">
        <f aca="false">IF(I28="","",I28/Calculator!$D$6)</f>
        <v>5.3710720577024</v>
      </c>
      <c r="K28" s="24" t="n">
        <f aca="false">IF(OR(N(Calculator!$E$6)=0,Calculator!$E$25=""),"",(Calculator!$E$25*Calculator!$E$11+Calculator!$E$26*Calculator!$E$12)*(1-Calculator!$E$19)^(23-1)*(1+Calculator!$E$13)^(23-1)-Calculator!$E$20*Calculator!$E$6-IF(23=Calculator!$E$22,Calculator!$E$21*Calculator!$E$6,0))</f>
        <v>2708.45656750841</v>
      </c>
      <c r="L28" s="24" t="n">
        <f aca="false">IF(K28="","",L27+K28)</f>
        <v>31598.205215734</v>
      </c>
      <c r="M28" s="25" t="n">
        <f aca="false">IF(L28="","",L28/Calculator!$E$6)</f>
        <v>2.43063117044108</v>
      </c>
      <c r="N28" s="24" t="n">
        <f aca="false">IF(OR(N(Calculator!$F$6)=0,Calculator!$F$25=""),"",(Calculator!$F$25*Calculator!$F$11+Calculator!$F$26*Calculator!$F$12)*(1-Calculator!$F$19)^(23-1)*(1+Calculator!$F$13)^(23-1)-Calculator!$F$20*Calculator!$F$6-IF(23=Calculator!$F$22,Calculator!$F$21*Calculator!$F$6,0))</f>
        <v>2518.27032714998</v>
      </c>
      <c r="O28" s="24" t="n">
        <f aca="false">IF(N28="","",O27+N28)</f>
        <v>5245.76871547906</v>
      </c>
      <c r="P28" s="25" t="n">
        <f aca="false">IF(O28="","",O28/Calculator!$F$6)</f>
        <v>0.169218345660615</v>
      </c>
    </row>
    <row r="29" customFormat="false" ht="15" hidden="false" customHeight="false" outlineLevel="0" collapsed="false">
      <c r="A29" s="0" t="n">
        <v>24</v>
      </c>
      <c r="B29" s="24" t="str">
        <f aca="false">IF(OR(N(Calculator!$B$6)=0,Calculator!$B$25=""),"",(Calculator!$B$25*Calculator!$B$11+Calculator!$B$26*Calculator!$B$12)*(1-Calculator!$B$19)^(24-1)*(1+Calculator!$B$13)^(24-1)-Calculator!$B$20*Calculator!$B$6-IF(24=Calculator!$B$22,Calculator!$B$21*Calculator!$B$6,0))</f>
        <v/>
      </c>
      <c r="C29" s="24" t="str">
        <f aca="false">IF(B29="","",C28+B29)</f>
        <v/>
      </c>
      <c r="D29" s="25" t="str">
        <f aca="false">IF(C29="","",C29/Calculator!$B$6)</f>
        <v/>
      </c>
      <c r="E29" s="24" t="n">
        <f aca="false">IF(OR(N(Calculator!$C$6)=0,Calculator!$C$25=""),"",(Calculator!$C$25*Calculator!$C$11+Calculator!$C$26*Calculator!$C$12)*(1-Calculator!$C$19)^(24-1)*(1+Calculator!$C$13)^(24-1)-Calculator!$C$20*Calculator!$C$6-IF(24=Calculator!$C$22,Calculator!$C$21*Calculator!$C$6,0))</f>
        <v>146554.139272197</v>
      </c>
      <c r="F29" s="24" t="n">
        <f aca="false">IF(E29="","",F28+E29)</f>
        <v>1578316.64908716</v>
      </c>
      <c r="G29" s="25" t="n">
        <f aca="false">IF(F29="","",F29/Calculator!$C$6)</f>
        <v>13.152638742393</v>
      </c>
      <c r="H29" s="24" t="n">
        <f aca="false">IF(OR(N(Calculator!$D$6)=0,Calculator!$D$25=""),"",(Calculator!$D$25*Calculator!$D$11+Calculator!$D$26*Calculator!$D$12)*(1-Calculator!$D$19)^(24-1)*(1+Calculator!$D$13)^(24-1)-Calculator!$D$20*Calculator!$D$6-IF(24=Calculator!$D$22,Calculator!$D$21*Calculator!$D$6,0))</f>
        <v>4404.8012122899</v>
      </c>
      <c r="I29" s="24" t="n">
        <f aca="false">IF(H29="","",I28+H29)</f>
        <v>66172.1298758675</v>
      </c>
      <c r="J29" s="25" t="n">
        <f aca="false">IF(I29="","",I29/Calculator!$D$6)</f>
        <v>5.75409825007543</v>
      </c>
      <c r="K29" s="24" t="n">
        <f aca="false">IF(OR(N(Calculator!$E$6)=0,Calculator!$E$25=""),"",(Calculator!$E$25*Calculator!$E$11+Calculator!$E$26*Calculator!$E$12)*(1-Calculator!$E$19)^(24-1)*(1+Calculator!$E$13)^(24-1)-Calculator!$E$20*Calculator!$E$6-IF(24=Calculator!$E$22,Calculator!$E$21*Calculator!$E$6,0))</f>
        <v>2777.37696321099</v>
      </c>
      <c r="L29" s="24" t="n">
        <f aca="false">IF(K29="","",L28+K29)</f>
        <v>34375.582178945</v>
      </c>
      <c r="M29" s="25" t="n">
        <f aca="false">IF(L29="","",L29/Calculator!$E$6)</f>
        <v>2.64427555222654</v>
      </c>
      <c r="N29" s="24" t="n">
        <f aca="false">IF(OR(N(Calculator!$F$6)=0,Calculator!$F$25=""),"",(Calculator!$F$25*Calculator!$F$11+Calculator!$F$26*Calculator!$F$12)*(1-Calculator!$F$19)^(24-1)*(1+Calculator!$F$13)^(24-1)-Calculator!$F$20*Calculator!$F$6-IF(24=Calculator!$F$22,Calculator!$F$21*Calculator!$F$6,0))</f>
        <v>2584.70109477966</v>
      </c>
      <c r="O29" s="24" t="n">
        <f aca="false">IF(N29="","",O28+N29)</f>
        <v>7830.46981025871</v>
      </c>
      <c r="P29" s="25" t="n">
        <f aca="false">IF(O29="","",O29/Calculator!$F$6)</f>
        <v>0.252595800330926</v>
      </c>
    </row>
    <row r="30" customFormat="false" ht="15" hidden="false" customHeight="false" outlineLevel="0" collapsed="false">
      <c r="A30" s="0" t="n">
        <v>25</v>
      </c>
      <c r="B30" s="24" t="str">
        <f aca="false">IF(OR(N(Calculator!$B$6)=0,Calculator!$B$25=""),"",(Calculator!$B$25*Calculator!$B$11+Calculator!$B$26*Calculator!$B$12)*(1-Calculator!$B$19)^(25-1)*(1+Calculator!$B$13)^(25-1)-Calculator!$B$20*Calculator!$B$6-IF(25=Calculator!$B$22,Calculator!$B$21*Calculator!$B$6,0))</f>
        <v/>
      </c>
      <c r="C30" s="24" t="str">
        <f aca="false">IF(B30="","",C29+B30)</f>
        <v/>
      </c>
      <c r="D30" s="25" t="str">
        <f aca="false">IF(C30="","",C30/Calculator!$B$6)</f>
        <v/>
      </c>
      <c r="E30" s="24" t="n">
        <f aca="false">IF(OR(N(Calculator!$C$6)=0,Calculator!$C$25=""),"",(Calculator!$C$25*Calculator!$C$11+Calculator!$C$26*Calculator!$C$12)*(1-Calculator!$C$19)^(25-1)*(1+Calculator!$C$13)^(25-1)-Calculator!$C$20*Calculator!$C$6-IF(25=Calculator!$C$22,Calculator!$C$21*Calculator!$C$6,0))</f>
        <v>157531.838061902</v>
      </c>
      <c r="F30" s="24" t="n">
        <f aca="false">IF(E30="","",F29+E30)</f>
        <v>1735848.48714907</v>
      </c>
      <c r="G30" s="25" t="n">
        <f aca="false">IF(F30="","",F30/Calculator!$C$6)</f>
        <v>14.4654040595755</v>
      </c>
      <c r="H30" s="24" t="n">
        <f aca="false">IF(OR(N(Calculator!$D$6)=0,Calculator!$D$25=""),"",(Calculator!$D$25*Calculator!$D$11+Calculator!$D$26*Calculator!$D$12)*(1-Calculator!$D$19)^(25-1)*(1+Calculator!$D$13)^(25-1)-Calculator!$D$20*Calculator!$D$6-IF(25=Calculator!$D$22,Calculator!$D$21*Calculator!$D$6,0))</f>
        <v>4515.68939741531</v>
      </c>
      <c r="I30" s="24" t="n">
        <f aca="false">IF(H30="","",I29+H30)</f>
        <v>70687.8192732828</v>
      </c>
      <c r="J30" s="25" t="n">
        <f aca="false">IF(I30="","",I30/Calculator!$D$6)</f>
        <v>6.14676689332894</v>
      </c>
      <c r="K30" s="24" t="n">
        <f aca="false">IF(OR(N(Calculator!$E$6)=0,Calculator!$E$25=""),"",(Calculator!$E$25*Calculator!$E$11+Calculator!$E$26*Calculator!$E$12)*(1-Calculator!$E$19)^(25-1)*(1+Calculator!$E$13)^(25-1)-Calculator!$E$20*Calculator!$E$6-IF(25=Calculator!$E$22,Calculator!$E$21*Calculator!$E$6,0))</f>
        <v>2848.01003074678</v>
      </c>
      <c r="L30" s="24" t="n">
        <f aca="false">IF(K30="","",L29+K30)</f>
        <v>37223.5922096918</v>
      </c>
      <c r="M30" s="25" t="n">
        <f aca="false">IF(L30="","",L30/Calculator!$E$6)</f>
        <v>2.86335324689937</v>
      </c>
      <c r="N30" s="24" t="n">
        <f aca="false">IF(OR(N(Calculator!$F$6)=0,Calculator!$F$25=""),"",(Calculator!$F$25*Calculator!$F$11+Calculator!$F$26*Calculator!$F$12)*(1-Calculator!$F$19)^(25-1)*(1+Calculator!$F$13)^(25-1)-Calculator!$F$20*Calculator!$F$6-IF(25=Calculator!$F$22,Calculator!$F$21*Calculator!$F$6,0))</f>
        <v>2652.78266698493</v>
      </c>
      <c r="O30" s="24" t="n">
        <f aca="false">IF(N30="","",O29+N30)</f>
        <v>10483.2524772436</v>
      </c>
      <c r="P30" s="25" t="n">
        <f aca="false">IF(O30="","",O30/Calculator!$F$6)</f>
        <v>0.338169434749795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2026-10-15T06:53:00Z</dcterms:created>
  <dc:creator>openpyxl</dc:creator>
  <dc:description/>
  <dc:language>en-US</dc:language>
  <cp:lastModifiedBy/>
  <dcterms:modified xsi:type="dcterms:W3CDTF">2026-10-15T08:53:04Z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