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tup" sheetId="2" state="visible" r:id="rId4"/>
    <sheet name="Monthly Log" sheetId="3" state="visible" r:id="rId5"/>
    <sheet name="Example Log" sheetId="4" state="visible" r:id="rId6"/>
    <sheet name="Maintenance" sheetId="5" state="visible" r:id="rId7"/>
    <sheet name="Fault Log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<sst xmlns="http://schemas.openxmlformats.org/spreadsheetml/2006/main" count="112" uniqueCount="97">
  <si>
    <t xml:space="preserve">Performance Log and Maintenance Schedule</t>
  </si>
  <si>
    <t xml:space="preserve">Free companion tool to Chapter 7: Living with Your Solar System</t>
  </si>
  <si>
    <t xml:space="preserve">How to use it</t>
  </si>
  <si>
    <t xml:space="preserve">1. Setup: enter your system size, your location's yearly production per kW, your hemisphere and your first logging month.</t>
  </si>
  <si>
    <t xml:space="preserve">2. Monthly Log: once a month, copy three numbers from your app: solar produced, bought from the grid, and exported.</t>
  </si>
  <si>
    <t xml:space="preserve">    It compares each month with what your system should produce, and with the same month last year, and flags anything unusual.</t>
  </si>
  <si>
    <t xml:space="preserve">3. Maintenance: record when you last did each task. It shows what's due soon and what's overdue.</t>
  </si>
  <si>
    <t xml:space="preserve">4. Fault Log: keep a record of any faults, error codes and repairs. Useful for warranty claims.</t>
  </si>
  <si>
    <t xml:space="preserve">See 'Example Log' for 18 months of a real-looking system, including a month where dirty panels were caught.</t>
  </si>
  <si>
    <t xml:space="preserve">What the flags mean</t>
  </si>
  <si>
    <t xml:space="preserve">OK: within the normal range.   CHECK: more than 10% below expected, or 15% below the same month last year. Look for dirt, shade or a fault.</t>
  </si>
  <si>
    <t xml:space="preserve">Cloudy or unusual weather can explain a low month. A run of low months, or a sudden drop, is what to watch for.</t>
  </si>
  <si>
    <t xml:space="preserve">Colour key</t>
  </si>
  <si>
    <t xml:space="preserve">Yellow cells, blue text: you type here.   Grey cells: calculated.</t>
  </si>
  <si>
    <t xml:space="preserve">Setup</t>
  </si>
  <si>
    <t xml:space="preserve">Your system and location</t>
  </si>
  <si>
    <t xml:space="preserve">System size (kW of panels)</t>
  </si>
  <si>
    <t xml:space="preserve">Yearly production per kW (kWh/kW)</t>
  </si>
  <si>
    <t xml:space="preserve">Hemisphere</t>
  </si>
  <si>
    <t xml:space="preserve">Southern</t>
  </si>
  <si>
    <t xml:space="preserve">Seasonal swing (how much summer beats winter)</t>
  </si>
  <si>
    <t xml:space="preserve">First month you'll log</t>
  </si>
  <si>
    <t xml:space="preserve">Grid tariff (per kWh)</t>
  </si>
  <si>
    <t xml:space="preserve">Export rate (per kWh, 0 if none)</t>
  </si>
  <si>
    <t xml:space="preserve">Panel output loss per year</t>
  </si>
  <si>
    <t xml:space="preserve">Seasonal swing: about 15–25% in sunny regions closer to the equator, 30–40% at mid latitudes, 50–70% in places like the UK.</t>
  </si>
  <si>
    <t xml:space="preserve">Yearly production per kW: PVGIS or PVWatts (free online), or the figure in your installer's design.</t>
  </si>
  <si>
    <t xml:space="preserve">Month</t>
  </si>
  <si>
    <t xml:space="preserve">Share of year (default)</t>
  </si>
  <si>
    <t xml:space="preserve">Your own share (optional)</t>
  </si>
  <si>
    <t xml:space="preserve">Share used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</si>
  <si>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</si>
  <si>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</si>
  <si>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</si>
  <si>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</si>
  <si>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</si>
  <si>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</si>
  <si>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</si>
  <si>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</si>
  <si>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</si>
  <si>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</si>
  <si>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</si>
  <si>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</si>
  <si>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Total</t>
  </si>
  <si>
    <t xml:space="preserve">If you enter your own shares (e.g. from PVGIS monthly results), make sure they add up to 100%.</t>
  </si>
  <si>
    <t xml:space="preserve">Monthly Log</t>
  </si>
  <si>
    <t xml:space="preserve">Copy three numbers from your app once a month</t>
  </si>
  <si>
    <t xml:space="preserve">Solar produced (kWh)</t>
  </si>
  <si>
    <t xml:space="preserve">Bought from grid (kWh)</t>
  </si>
  <si>
    <t xml:space="preserve">Exported (kWh)</t>
  </si>
  <si>
    <t xml:space="preserve">Notes (weather, cleaning, changes)</t>
  </si>
  <si>
    <t xml:space="preserve">Expected solar (kWh)</t>
  </si>
  <si>
    <t xml:space="preserve">% of expected</t>
  </si>
  <si>
    <t xml:space="preserve">Same month last year (kWh)</t>
  </si>
  <si>
    <t xml:space="preserve">Change vs last year</t>
  </si>
  <si>
    <t xml:space="preserve">Estimated saving</t>
  </si>
  <si>
    <t xml:space="preserve">Check</t>
  </si>
  <si>
    <t xml:space="preserve">Totals so far</t>
  </si>
  <si>
    <t xml:space="preserve">Months logged</t>
  </si>
  <si>
    <t xml:space="preserve">Months flagged</t>
  </si>
  <si>
    <t xml:space="preserve">Example Log</t>
  </si>
  <si>
    <t xml:space="preserve">18 months of an example system (7.8 kW, Johannesburg). Note August 2027.</t>
  </si>
  <si>
    <t xml:space="preserve">Very cloudy month</t>
  </si>
  <si>
    <t xml:space="preserve">Lower than usual</t>
  </si>
  <si>
    <t xml:space="preserve">Panels cleaned 3 Sep (dusty winter)</t>
  </si>
  <si>
    <t xml:space="preserve">Maintenance Schedule</t>
  </si>
  <si>
    <t xml:space="preserve">Record when you last did each task; it shows what's coming up</t>
  </si>
  <si>
    <t xml:space="preserve">Task</t>
  </si>
  <si>
    <t xml:space="preserve">Every (months)</t>
  </si>
  <si>
    <t xml:space="preserve">Last done</t>
  </si>
  <si>
    <t xml:space="preserve">Next due</t>
  </si>
  <si>
    <t xml:space="preserve">Status</t>
  </si>
  <si>
    <t xml:space="preserve">Notes / who did it</t>
  </si>
  <si>
    <t xml:space="preserve">Record numbers in the Monthly Log</t>
  </si>
  <si>
    <t xml:space="preserve">Glance at inverter and battery: warning lights, noises, smells, heat</t>
  </si>
  <si>
    <t xml:space="preserve">Check panels from the ground: dirt, bird droppings, new shading</t>
  </si>
  <si>
    <t xml:space="preserve">Keep inverter and battery vents clear of dust</t>
  </si>
  <si>
    <t xml:space="preserve">Check inverter software is up to date</t>
  </si>
  <si>
    <t xml:space="preserve">Clean panels if visibly dirty (professional, or from the ground)</t>
  </si>
  <si>
    <t xml:space="preserve">Trim trees that shade the panels</t>
  </si>
  <si>
    <t xml:space="preserve">Check roof space for rodents and damaged conduit</t>
  </si>
  <si>
    <t xml:space="preserve">Test backup: switch off the grid supply and check essential circuits stay on</t>
  </si>
  <si>
    <t xml:space="preserve">Installer inspection: tighten connections, check isolators and surge protection</t>
  </si>
  <si>
    <t xml:space="preserve">Installer inspection: test earth connections on frames, inverter and every battery</t>
  </si>
  <si>
    <t xml:space="preserve">Installer review of battery health and inverter settings</t>
  </si>
  <si>
    <t xml:space="preserve">Also after any change: whenever batteries are added, check the inverter's battery charge and discharge limits, cables and fused isolator (Chapter 5).</t>
  </si>
  <si>
    <t xml:space="preserve">Stay off the roof. Use a professional for roof work and cleaning.</t>
  </si>
  <si>
    <t xml:space="preserve">Fault Log</t>
  </si>
  <si>
    <t xml:space="preserve">Record any fault, error code or repair</t>
  </si>
  <si>
    <t xml:space="preserve">Date</t>
  </si>
  <si>
    <t xml:space="preserve">What happened</t>
  </si>
  <si>
    <t xml:space="preserve">Fault / error code</t>
  </si>
  <si>
    <t xml:space="preserve">What was done</t>
  </si>
  <si>
    <t xml:space="preserve">Who fixed it</t>
  </si>
  <si>
    <t xml:space="preserve">Cost</t>
  </si>
  <si>
    <t xml:space="preserve">Under warranty? (Y/N)</t>
  </si>
  <si>
    <t xml:space="preserve">Photograph the fault code and keep your installer's report with this log. Never open the inverter or battery.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</si>
</sst>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"/>
    <numFmt numFmtId="166" formatCode="#,##0"/>
    <numFmt numFmtId="167" formatCode="0%"/>
    <numFmt numFmtId="168" formatCode="mmm\ yyyy"/>
    <numFmt numFmtId="169" formatCode="0.0000"/>
    <numFmt numFmtId="170" formatCode="0.0%"/>
    <numFmt numFmtId="171" formatCode="\+0%;\-0%;0%"/>
    <numFmt numFmtId="172" formatCode="0"/>
    <numFmt numFmtId="173" formatCode="dd\ mmm\ 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5F5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2"/>
      <color rgb="FF1F5F5B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C0392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D5"/>
        <bgColor rgb="FFFFF3CD"/>
      </patternFill>
    </fill>
    <fill>
      <patternFill patternType="solid">
        <fgColor rgb="FF1F5F5B"/>
        <bgColor rgb="FF555555"/>
      </patternFill>
    </fill>
    <fill>
      <patternFill patternType="solid">
        <fgColor rgb="FFF3F5F5"/>
        <bgColor rgb="FFE3F1EF"/>
      </patternFill>
    </fill>
    <fill>
      <patternFill patternType="solid">
        <fgColor rgb="FFE3F1EF"/>
        <bgColor rgb="FFF3F5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2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4EDDA"/>
        </patternFill>
      </fill>
    </dxf>
    <dxf>
      <fill>
        <patternFill>
          <bgColor rgb="FFFFF3CD"/>
        </patternFill>
      </fill>
    </dxf>
    <dxf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5F5B"/>
      <rgbColor rgb="FFC9D1D0"/>
      <rgbColor rgb="FF878787"/>
      <rgbColor rgb="FF9999FF"/>
      <rgbColor rgb="FF993366"/>
      <rgbColor rgb="FFFFF6D5"/>
      <rgbColor rgb="FFE3F1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5"/>
      <rgbColor rgb="FFD4EDDA"/>
      <rgbColor rgb="FFFFF3CD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2A900"/>
      <rgbColor rgb="FFFF6600"/>
      <rgbColor rgb="FF555555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Solar produced vs expected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'Monthly Log'!B4</c:f>
              <c:strCache>
                <c:ptCount val="1"/>
                <c:pt idx="0">
                  <c:v>Solar produced (kWh)</c:v>
                </c:pt>
              </c:strCache>
            </c:strRef>
          </c:tx>
          <c:spPr>
            <a:solidFill>
              <a:srgbClr val="f2a9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Log'!$A$5:$A$28</c:f>
              <c:strCache>
                <c:ptCount val="24"/>
                <c:pt idx="0">
                  <c:v>Nov 2026</c:v>
                </c:pt>
                <c:pt idx="1">
                  <c:v>Dec 2026</c:v>
                </c:pt>
                <c:pt idx="2">
                  <c:v>Jan 2027</c:v>
                </c:pt>
                <c:pt idx="3">
                  <c:v>Feb 2027</c:v>
                </c:pt>
                <c:pt idx="4">
                  <c:v>Mar 2027</c:v>
                </c:pt>
                <c:pt idx="5">
                  <c:v>Apr 2027</c:v>
                </c:pt>
                <c:pt idx="6">
                  <c:v>May 2027</c:v>
                </c:pt>
                <c:pt idx="7">
                  <c:v>Jun 2027</c:v>
                </c:pt>
                <c:pt idx="8">
                  <c:v>Jul 2027</c:v>
                </c:pt>
                <c:pt idx="9">
                  <c:v>Aug 2027</c:v>
                </c:pt>
                <c:pt idx="10">
                  <c:v>Sep 2027</c:v>
                </c:pt>
                <c:pt idx="11">
                  <c:v>Oct 2027</c:v>
                </c:pt>
                <c:pt idx="12">
                  <c:v>Nov 2027</c:v>
                </c:pt>
                <c:pt idx="13">
                  <c:v>Dec 2027</c:v>
                </c:pt>
                <c:pt idx="14">
                  <c:v>Jan 2028</c:v>
                </c:pt>
                <c:pt idx="15">
                  <c:v>Feb 2028</c:v>
                </c:pt>
                <c:pt idx="16">
                  <c:v>Mar 2028</c:v>
                </c:pt>
                <c:pt idx="17">
                  <c:v>Apr 2028</c:v>
                </c:pt>
                <c:pt idx="18">
                  <c:v>May 2028</c:v>
                </c:pt>
                <c:pt idx="19">
                  <c:v>Jun 2028</c:v>
                </c:pt>
                <c:pt idx="20">
                  <c:v>Jul 2028</c:v>
                </c:pt>
                <c:pt idx="21">
                  <c:v>Aug 2028</c:v>
                </c:pt>
                <c:pt idx="22">
                  <c:v>Sep 2028</c:v>
                </c:pt>
                <c:pt idx="23">
                  <c:v>Oct 2028</c:v>
                </c:pt>
              </c:strCache>
            </c:strRef>
          </c:cat>
          <c:val>
            <c:numRef>
              <c:f>'Monthly Log'!$B$5:$B$28</c:f>
              <c:numCache>
                <c:formatCode>General</c:formatCode>
                <c:ptCount val="24"/>
              </c:numCache>
            </c:numRef>
          </c:val>
        </c:ser>
        <c:gapWidth val="150"/>
        <c:overlap val="0"/>
        <c:axId val="2025793"/>
        <c:axId val="16779446"/>
      </c:barChart>
      <c:lineChart>
        <c:grouping val="standard"/>
        <c:varyColors val="0"/>
        <c:ser>
          <c:idx val="1"/>
          <c:order val="1"/>
          <c:tx>
            <c:strRef>
              <c:f>'Monthly Log'!F4</c:f>
              <c:strCache>
                <c:ptCount val="1"/>
                <c:pt idx="0">
                  <c:v>Expected solar (kWh)</c:v>
                </c:pt>
              </c:strCache>
            </c:strRef>
          </c:tx>
          <c:spPr>
            <a:solidFill>
              <a:srgbClr val="1f5f5b"/>
            </a:solidFill>
            <a:ln w="28440">
              <a:solidFill>
                <a:srgbClr val="1f5f5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Log'!$A$5:$A$28</c:f>
              <c:strCache>
                <c:ptCount val="24"/>
                <c:pt idx="0">
                  <c:v>Nov 2026</c:v>
                </c:pt>
                <c:pt idx="1">
                  <c:v>Dec 2026</c:v>
                </c:pt>
                <c:pt idx="2">
                  <c:v>Jan 2027</c:v>
                </c:pt>
                <c:pt idx="3">
                  <c:v>Feb 2027</c:v>
                </c:pt>
                <c:pt idx="4">
                  <c:v>Mar 2027</c:v>
                </c:pt>
                <c:pt idx="5">
                  <c:v>Apr 2027</c:v>
                </c:pt>
                <c:pt idx="6">
                  <c:v>May 2027</c:v>
                </c:pt>
                <c:pt idx="7">
                  <c:v>Jun 2027</c:v>
                </c:pt>
                <c:pt idx="8">
                  <c:v>Jul 2027</c:v>
                </c:pt>
                <c:pt idx="9">
                  <c:v>Aug 2027</c:v>
                </c:pt>
                <c:pt idx="10">
                  <c:v>Sep 2027</c:v>
                </c:pt>
                <c:pt idx="11">
                  <c:v>Oct 2027</c:v>
                </c:pt>
                <c:pt idx="12">
                  <c:v>Nov 2027</c:v>
                </c:pt>
                <c:pt idx="13">
                  <c:v>Dec 2027</c:v>
                </c:pt>
                <c:pt idx="14">
                  <c:v>Jan 2028</c:v>
                </c:pt>
                <c:pt idx="15">
                  <c:v>Feb 2028</c:v>
                </c:pt>
                <c:pt idx="16">
                  <c:v>Mar 2028</c:v>
                </c:pt>
                <c:pt idx="17">
                  <c:v>Apr 2028</c:v>
                </c:pt>
                <c:pt idx="18">
                  <c:v>May 2028</c:v>
                </c:pt>
                <c:pt idx="19">
                  <c:v>Jun 2028</c:v>
                </c:pt>
                <c:pt idx="20">
                  <c:v>Jul 2028</c:v>
                </c:pt>
                <c:pt idx="21">
                  <c:v>Aug 2028</c:v>
                </c:pt>
                <c:pt idx="22">
                  <c:v>Sep 2028</c:v>
                </c:pt>
                <c:pt idx="23">
                  <c:v>Oct 2028</c:v>
                </c:pt>
              </c:strCache>
            </c:strRef>
          </c:cat>
          <c:val>
            <c:numRef>
              <c:f>'Monthly Log'!$F$5:$F$28</c:f>
              <c:numCache>
                <c:formatCode>#,##0</c:formatCode>
                <c:ptCount val="24"/>
                <c:pt idx="0">
                  <c:v>1261.27059864223</c:v>
                </c:pt>
                <c:pt idx="1">
                  <c:v>1318.46960760988</c:v>
                </c:pt>
                <c:pt idx="2">
                  <c:v>1318.46960760988</c:v>
                </c:pt>
                <c:pt idx="3">
                  <c:v>1261.27059864223</c:v>
                </c:pt>
                <c:pt idx="4">
                  <c:v>1162.19900896766</c:v>
                </c:pt>
                <c:pt idx="5">
                  <c:v>1047.80099103234</c:v>
                </c:pt>
                <c:pt idx="6">
                  <c:v>948.729401357773</c:v>
                </c:pt>
                <c:pt idx="7">
                  <c:v>891.530392390116</c:v>
                </c:pt>
                <c:pt idx="8">
                  <c:v>891.530392390116</c:v>
                </c:pt>
                <c:pt idx="9">
                  <c:v>948.729401357773</c:v>
                </c:pt>
                <c:pt idx="10">
                  <c:v>1047.80099103234</c:v>
                </c:pt>
                <c:pt idx="11">
                  <c:v>1162.19900896766</c:v>
                </c:pt>
                <c:pt idx="12">
                  <c:v>1254.96424564902</c:v>
                </c:pt>
                <c:pt idx="13">
                  <c:v>1311.87725957183</c:v>
                </c:pt>
                <c:pt idx="14">
                  <c:v>1311.87725957183</c:v>
                </c:pt>
                <c:pt idx="15">
                  <c:v>1254.96424564902</c:v>
                </c:pt>
                <c:pt idx="16">
                  <c:v>1156.38801392282</c:v>
                </c:pt>
                <c:pt idx="17">
                  <c:v>1042.56198607718</c:v>
                </c:pt>
                <c:pt idx="18">
                  <c:v>943.985754350984</c:v>
                </c:pt>
                <c:pt idx="19">
                  <c:v>887.072740428165</c:v>
                </c:pt>
                <c:pt idx="20">
                  <c:v>887.072740428165</c:v>
                </c:pt>
                <c:pt idx="21">
                  <c:v>943.985754350984</c:v>
                </c:pt>
                <c:pt idx="22">
                  <c:v>1042.56198607718</c:v>
                </c:pt>
                <c:pt idx="23">
                  <c:v>1156.38801392282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025793"/>
        <c:axId val="16779446"/>
      </c:lineChart>
      <c:catAx>
        <c:axId val="2025793"/>
        <c:scaling>
          <c:orientation val="minMax"/>
        </c:scaling>
        <c:delete val="0"/>
        <c:axPos val="b"/>
        <c:numFmt formatCode="mmm\ 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779446"/>
        <c:crosses val="autoZero"/>
        <c:auto val="1"/>
        <c:lblAlgn val="ctr"/>
        <c:lblOffset val="100"/>
        <c:noMultiLvlLbl val="0"/>
      </c:catAx>
      <c:valAx>
        <c:axId val="167794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kWh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2579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Solar produced vs expected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'Example Log'!B4</c:f>
              <c:strCache>
                <c:ptCount val="1"/>
                <c:pt idx="0">
                  <c:v>Solar produced (kWh)</c:v>
                </c:pt>
              </c:strCache>
            </c:strRef>
          </c:tx>
          <c:spPr>
            <a:solidFill>
              <a:srgbClr val="f2a9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'Example Log'!$A$5:$A$28</c:f>
              <c:strCache>
                <c:ptCount val="24"/>
                <c:pt idx="0">
                  <c:v>Nov 2026</c:v>
                </c:pt>
                <c:pt idx="1">
                  <c:v>Dec 2026</c:v>
                </c:pt>
                <c:pt idx="2">
                  <c:v>Jan 2027</c:v>
                </c:pt>
                <c:pt idx="3">
                  <c:v>Feb 2027</c:v>
                </c:pt>
                <c:pt idx="4">
                  <c:v>Mar 2027</c:v>
                </c:pt>
                <c:pt idx="5">
                  <c:v>Apr 2027</c:v>
                </c:pt>
                <c:pt idx="6">
                  <c:v>May 2027</c:v>
                </c:pt>
                <c:pt idx="7">
                  <c:v>Jun 2027</c:v>
                </c:pt>
                <c:pt idx="8">
                  <c:v>Jul 2027</c:v>
                </c:pt>
                <c:pt idx="9">
                  <c:v>Aug 2027</c:v>
                </c:pt>
                <c:pt idx="10">
                  <c:v>Sep 2027</c:v>
                </c:pt>
                <c:pt idx="11">
                  <c:v>Oct 2027</c:v>
                </c:pt>
                <c:pt idx="12">
                  <c:v>Nov 2027</c:v>
                </c:pt>
                <c:pt idx="13">
                  <c:v>Dec 2027</c:v>
                </c:pt>
                <c:pt idx="14">
                  <c:v>Jan 2028</c:v>
                </c:pt>
                <c:pt idx="15">
                  <c:v>Feb 2028</c:v>
                </c:pt>
                <c:pt idx="16">
                  <c:v>Mar 2028</c:v>
                </c:pt>
                <c:pt idx="17">
                  <c:v>Apr 2028</c:v>
                </c:pt>
                <c:pt idx="18">
                  <c:v>May 2028</c:v>
                </c:pt>
                <c:pt idx="19">
                  <c:v>Jun 2028</c:v>
                </c:pt>
                <c:pt idx="20">
                  <c:v>Jul 2028</c:v>
                </c:pt>
                <c:pt idx="21">
                  <c:v>Aug 2028</c:v>
                </c:pt>
                <c:pt idx="22">
                  <c:v>Sep 2028</c:v>
                </c:pt>
                <c:pt idx="23">
                  <c:v>Oct 2028</c:v>
                </c:pt>
              </c:strCache>
            </c:strRef>
          </c:cat>
          <c:val>
            <c:numRef>
              <c:f>'Example Log'!$B$5:$B$28</c:f>
              <c:numCache>
                <c:formatCode>#,##0</c:formatCode>
                <c:ptCount val="24"/>
                <c:pt idx="0">
                  <c:v>1218</c:v>
                </c:pt>
                <c:pt idx="1">
                  <c:v>1297</c:v>
                </c:pt>
                <c:pt idx="2">
                  <c:v>1134</c:v>
                </c:pt>
                <c:pt idx="3">
                  <c:v>1313</c:v>
                </c:pt>
                <c:pt idx="4">
                  <c:v>1190</c:v>
                </c:pt>
                <c:pt idx="5">
                  <c:v>1047</c:v>
                </c:pt>
                <c:pt idx="6">
                  <c:v>910</c:v>
                </c:pt>
                <c:pt idx="7">
                  <c:v>859</c:v>
                </c:pt>
                <c:pt idx="8">
                  <c:v>919</c:v>
                </c:pt>
                <c:pt idx="9">
                  <c:v>740</c:v>
                </c:pt>
                <c:pt idx="10">
                  <c:v>1048</c:v>
                </c:pt>
                <c:pt idx="11">
                  <c:v>1186</c:v>
                </c:pt>
                <c:pt idx="12">
                  <c:v>1301</c:v>
                </c:pt>
                <c:pt idx="13">
                  <c:v>1321</c:v>
                </c:pt>
                <c:pt idx="14">
                  <c:v>1306</c:v>
                </c:pt>
                <c:pt idx="15">
                  <c:v>1245</c:v>
                </c:pt>
                <c:pt idx="16">
                  <c:v>1206</c:v>
                </c:pt>
                <c:pt idx="17">
                  <c:v>1043</c:v>
                </c:pt>
              </c:numCache>
            </c:numRef>
          </c:val>
        </c:ser>
        <c:gapWidth val="150"/>
        <c:overlap val="0"/>
        <c:axId val="74183171"/>
        <c:axId val="55344500"/>
      </c:barChart>
      <c:lineChart>
        <c:grouping val="standard"/>
        <c:varyColors val="0"/>
        <c:ser>
          <c:idx val="1"/>
          <c:order val="1"/>
          <c:tx>
            <c:strRef>
              <c:f>'Example Log'!F4</c:f>
              <c:strCache>
                <c:ptCount val="1"/>
                <c:pt idx="0">
                  <c:v>Expected solar (kWh)</c:v>
                </c:pt>
              </c:strCache>
            </c:strRef>
          </c:tx>
          <c:spPr>
            <a:solidFill>
              <a:srgbClr val="1f5f5b"/>
            </a:solidFill>
            <a:ln w="28440">
              <a:solidFill>
                <a:srgbClr val="1f5f5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'Example Log'!$A$5:$A$28</c:f>
              <c:strCache>
                <c:ptCount val="24"/>
                <c:pt idx="0">
                  <c:v>Nov 2026</c:v>
                </c:pt>
                <c:pt idx="1">
                  <c:v>Dec 2026</c:v>
                </c:pt>
                <c:pt idx="2">
                  <c:v>Jan 2027</c:v>
                </c:pt>
                <c:pt idx="3">
                  <c:v>Feb 2027</c:v>
                </c:pt>
                <c:pt idx="4">
                  <c:v>Mar 2027</c:v>
                </c:pt>
                <c:pt idx="5">
                  <c:v>Apr 2027</c:v>
                </c:pt>
                <c:pt idx="6">
                  <c:v>May 2027</c:v>
                </c:pt>
                <c:pt idx="7">
                  <c:v>Jun 2027</c:v>
                </c:pt>
                <c:pt idx="8">
                  <c:v>Jul 2027</c:v>
                </c:pt>
                <c:pt idx="9">
                  <c:v>Aug 2027</c:v>
                </c:pt>
                <c:pt idx="10">
                  <c:v>Sep 2027</c:v>
                </c:pt>
                <c:pt idx="11">
                  <c:v>Oct 2027</c:v>
                </c:pt>
                <c:pt idx="12">
                  <c:v>Nov 2027</c:v>
                </c:pt>
                <c:pt idx="13">
                  <c:v>Dec 2027</c:v>
                </c:pt>
                <c:pt idx="14">
                  <c:v>Jan 2028</c:v>
                </c:pt>
                <c:pt idx="15">
                  <c:v>Feb 2028</c:v>
                </c:pt>
                <c:pt idx="16">
                  <c:v>Mar 2028</c:v>
                </c:pt>
                <c:pt idx="17">
                  <c:v>Apr 2028</c:v>
                </c:pt>
                <c:pt idx="18">
                  <c:v>May 2028</c:v>
                </c:pt>
                <c:pt idx="19">
                  <c:v>Jun 2028</c:v>
                </c:pt>
                <c:pt idx="20">
                  <c:v>Jul 2028</c:v>
                </c:pt>
                <c:pt idx="21">
                  <c:v>Aug 2028</c:v>
                </c:pt>
                <c:pt idx="22">
                  <c:v>Sep 2028</c:v>
                </c:pt>
                <c:pt idx="23">
                  <c:v>Oct 2028</c:v>
                </c:pt>
              </c:strCache>
            </c:strRef>
          </c:cat>
          <c:val>
            <c:numRef>
              <c:f>'Example Log'!$F$5:$F$28</c:f>
              <c:numCache>
                <c:formatCode>#,##0</c:formatCode>
                <c:ptCount val="24"/>
                <c:pt idx="0">
                  <c:v>1261.27059864223</c:v>
                </c:pt>
                <c:pt idx="1">
                  <c:v>1318.46960760988</c:v>
                </c:pt>
                <c:pt idx="2">
                  <c:v>1318.46960760988</c:v>
                </c:pt>
                <c:pt idx="3">
                  <c:v>1261.27059864223</c:v>
                </c:pt>
                <c:pt idx="4">
                  <c:v>1162.19900896766</c:v>
                </c:pt>
                <c:pt idx="5">
                  <c:v>1047.80099103234</c:v>
                </c:pt>
                <c:pt idx="6">
                  <c:v>948.729401357773</c:v>
                </c:pt>
                <c:pt idx="7">
                  <c:v>891.530392390116</c:v>
                </c:pt>
                <c:pt idx="8">
                  <c:v>891.530392390116</c:v>
                </c:pt>
                <c:pt idx="9">
                  <c:v>948.729401357773</c:v>
                </c:pt>
                <c:pt idx="10">
                  <c:v>1047.80099103234</c:v>
                </c:pt>
                <c:pt idx="11">
                  <c:v>1162.19900896766</c:v>
                </c:pt>
                <c:pt idx="12">
                  <c:v>1254.96424564902</c:v>
                </c:pt>
                <c:pt idx="13">
                  <c:v>1311.87725957183</c:v>
                </c:pt>
                <c:pt idx="14">
                  <c:v>1311.87725957183</c:v>
                </c:pt>
                <c:pt idx="15">
                  <c:v>1254.96424564902</c:v>
                </c:pt>
                <c:pt idx="16">
                  <c:v>1156.38801392282</c:v>
                </c:pt>
                <c:pt idx="17">
                  <c:v>1042.56198607718</c:v>
                </c:pt>
                <c:pt idx="18">
                  <c:v>943.985754350984</c:v>
                </c:pt>
                <c:pt idx="19">
                  <c:v>887.072740428165</c:v>
                </c:pt>
                <c:pt idx="20">
                  <c:v>887.072740428165</c:v>
                </c:pt>
                <c:pt idx="21">
                  <c:v>943.985754350984</c:v>
                </c:pt>
                <c:pt idx="22">
                  <c:v>1042.56198607718</c:v>
                </c:pt>
                <c:pt idx="23">
                  <c:v>1156.38801392282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4183171"/>
        <c:axId val="55344500"/>
      </c:lineChart>
      <c:catAx>
        <c:axId val="74183171"/>
        <c:scaling>
          <c:orientation val="minMax"/>
        </c:scaling>
        <c:delete val="0"/>
        <c:axPos val="b"/>
        <c:numFmt formatCode="mmm\ 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344500"/>
        <c:crosses val="autoZero"/>
        <c:auto val="1"/>
        <c:lblAlgn val="ctr"/>
        <c:lblOffset val="100"/>
        <c:noMultiLvlLbl val="0"/>
      </c:catAx>
      <c:valAx>
        <c:axId val="553445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kWh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18317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0</xdr:colOff>
      <xdr:row>2</xdr:row>
      <xdr:rowOff>131040</xdr:rowOff>
    </xdr:from>
    <xdr:to>
      <xdr:col>24</xdr:col>
      <xdr:colOff>581760</xdr:colOff>
      <xdr:row>15</xdr:row>
      <xdr:rowOff>172080</xdr:rowOff>
    </xdr:to>
    <xdr:graphicFrame>
      <xdr:nvGraphicFramePr>
        <xdr:cNvPr id="0" name="Chart 1"/>
        <xdr:cNvGraphicFramePr/>
      </xdr:nvGraphicFramePr>
      <xdr:xfrm>
        <a:off x="12805560" y="57168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0</xdr:colOff>
      <xdr:row>2</xdr:row>
      <xdr:rowOff>131040</xdr:rowOff>
    </xdr:from>
    <xdr:to>
      <xdr:col>24</xdr:col>
      <xdr:colOff>581760</xdr:colOff>
      <xdr:row>15</xdr:row>
      <xdr:rowOff>172080</xdr:rowOff>
    </xdr:to>
    <xdr:graphicFrame>
      <xdr:nvGraphicFramePr>
        <xdr:cNvPr id="1" name="Chart 1"/>
        <xdr:cNvGraphicFramePr/>
      </xdr:nvGraphicFramePr>
      <xdr:xfrm>
        <a:off x="12805560" y="57168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0" customFormat="false" ht="15" hidden="false" customHeight="false" outlineLevel="0" collapsed="false">
      <c r="B10" s="4" t="s">
        <v>8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3" t="s">
        <v>9</v>
      </c>
    </row>
    <row r="13" customFormat="false" ht="15" hidden="false" customHeight="false" outlineLevel="0" collapsed="false">
      <c r="B13" s="4" t="s">
        <v>10</v>
      </c>
    </row>
    <row r="14" customFormat="false" ht="15" hidden="false" customHeight="false" outlineLevel="0" collapsed="false">
      <c r="B14" s="4" t="s">
        <v>11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12"/>
    <col collapsed="false" customWidth="true" hidden="false" outlineLevel="0" max="7" min="5" style="0" width="16"/>
  </cols>
  <sheetData>
    <row r="1" customFormat="false" ht="19.7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5" t="s">
        <v>16</v>
      </c>
      <c r="B4" s="6" t="n">
        <v>7.8</v>
      </c>
    </row>
    <row r="5" customFormat="false" ht="15" hidden="false" customHeight="false" outlineLevel="0" collapsed="false">
      <c r="A5" s="5" t="s">
        <v>17</v>
      </c>
      <c r="B5" s="7" t="n">
        <v>1700</v>
      </c>
    </row>
    <row r="6" customFormat="false" ht="15" hidden="false" customHeight="false" outlineLevel="0" collapsed="false">
      <c r="A6" s="5" t="s">
        <v>18</v>
      </c>
      <c r="B6" s="8" t="s">
        <v>19</v>
      </c>
    </row>
    <row r="7" customFormat="false" ht="15" hidden="false" customHeight="false" outlineLevel="0" collapsed="false">
      <c r="A7" s="5" t="s">
        <v>20</v>
      </c>
      <c r="B7" s="9" t="n">
        <v>0.2</v>
      </c>
    </row>
    <row r="8" customFormat="false" ht="15" hidden="false" customHeight="false" outlineLevel="0" collapsed="false">
      <c r="A8" s="5" t="s">
        <v>21</v>
      </c>
      <c r="B8" s="10" t="n">
        <v>46327</v>
      </c>
    </row>
    <row r="9" customFormat="false" ht="15" hidden="false" customHeight="false" outlineLevel="0" collapsed="false">
      <c r="A9" s="5" t="s">
        <v>22</v>
      </c>
      <c r="B9" s="11" t="n">
        <v>3.83</v>
      </c>
    </row>
    <row r="10" customFormat="false" ht="15" hidden="false" customHeight="false" outlineLevel="0" collapsed="false">
      <c r="A10" s="5" t="s">
        <v>23</v>
      </c>
      <c r="B10" s="11" t="n">
        <v>0</v>
      </c>
    </row>
    <row r="11" customFormat="false" ht="15" hidden="false" customHeight="false" outlineLevel="0" collapsed="false">
      <c r="A11" s="5" t="s">
        <v>24</v>
      </c>
      <c r="B11" s="12" t="n">
        <v>0.005</v>
      </c>
    </row>
    <row r="13" customFormat="false" ht="15" hidden="false" customHeight="false" outlineLevel="0" collapsed="false">
      <c r="A13" s="2" t="s">
        <v>25</v>
      </c>
    </row>
    <row r="14" customFormat="false" ht="15" hidden="false" customHeight="false" outlineLevel="0" collapsed="false">
      <c r="A14" s="2" t="s">
        <v>26</v>
      </c>
    </row>
    <row r="16" customFormat="false" ht="36" hidden="false" customHeight="true" outlineLevel="0" collapsed="false">
      <c r="A16" s="13" t="s">
        <v>27</v>
      </c>
      <c r="B16" s="13" t="s">
        <v>28</v>
      </c>
      <c r="C16" s="13"/>
      <c r="D16" s="13" t="s">
        <v>29</v>
      </c>
      <c r="E16" s="13" t="s">
        <v>30</v>
      </c>
    </row>
    <row r="17" customFormat="false" ht="15" hidden="false" customHeight="false" outlineLevel="0" collapsed="false">
      <c r="A17" s="5" t="s">
        <v>31</v>
      </c>
      <c r="B17" s="14" t="n">
        <f aca="false">(1+$B$7*COS(2*PI()*(0-IF($B$6="Southern",-0.5,5.5))/12))/12</f>
        <v>0.0994320971048178</v>
      </c>
      <c r="D17" s="12"/>
      <c r="E17" s="15" t="n">
        <f aca="false">IF(D17="",B17,D17)</f>
        <v>0.0994320971048178</v>
      </c>
    </row>
    <row r="18" customFormat="false" ht="15" hidden="false" customHeight="false" outlineLevel="0" collapsed="false">
      <c r="A18" s="5" t="s">
        <v>32</v>
      </c>
      <c r="B18" s="14" t="n">
        <f aca="false">(1+$B$7*COS(2*PI()*(1-IF($B$6="Southern",-0.5,5.5))/12))/12</f>
        <v>0.0951184463531091</v>
      </c>
      <c r="D18" s="12"/>
      <c r="E18" s="15" t="n">
        <f aca="false">IF(D18="",B18,D18)</f>
        <v>0.0951184463531091</v>
      </c>
    </row>
    <row r="19" customFormat="false" ht="15" hidden="false" customHeight="false" outlineLevel="0" collapsed="false">
      <c r="A19" s="5" t="s">
        <v>33</v>
      </c>
      <c r="B19" s="14" t="n">
        <f aca="false">(1+$B$7*COS(2*PI()*(2-IF($B$6="Southern",-0.5,5.5))/12))/12</f>
        <v>0.087646984085042</v>
      </c>
      <c r="D19" s="12"/>
      <c r="E19" s="15" t="n">
        <f aca="false">IF(D19="",B19,D19)</f>
        <v>0.087646984085042</v>
      </c>
    </row>
    <row r="20" customFormat="false" ht="15" hidden="false" customHeight="false" outlineLevel="0" collapsed="false">
      <c r="A20" s="5" t="s">
        <v>34</v>
      </c>
      <c r="B20" s="14" t="n">
        <f aca="false">(1+$B$7*COS(2*PI()*(3-IF($B$6="Southern",-0.5,5.5))/12))/12</f>
        <v>0.0790196825816247</v>
      </c>
      <c r="D20" s="12"/>
      <c r="E20" s="15" t="n">
        <f aca="false">IF(D20="",B20,D20)</f>
        <v>0.0790196825816247</v>
      </c>
    </row>
    <row r="21" customFormat="false" ht="15" hidden="false" customHeight="false" outlineLevel="0" collapsed="false">
      <c r="A21" s="5" t="s">
        <v>35</v>
      </c>
      <c r="B21" s="14" t="n">
        <f aca="false">(1+$B$7*COS(2*PI()*(4-IF($B$6="Southern",-0.5,5.5))/12))/12</f>
        <v>0.0715482203135576</v>
      </c>
      <c r="D21" s="12"/>
      <c r="E21" s="15" t="n">
        <f aca="false">IF(D21="",B21,D21)</f>
        <v>0.0715482203135576</v>
      </c>
    </row>
    <row r="22" customFormat="false" ht="15" hidden="false" customHeight="false" outlineLevel="0" collapsed="false">
      <c r="A22" s="5" t="s">
        <v>36</v>
      </c>
      <c r="B22" s="14" t="n">
        <f aca="false">(1+$B$7*COS(2*PI()*(5-IF($B$6="Southern",-0.5,5.5))/12))/12</f>
        <v>0.0672345695618489</v>
      </c>
      <c r="D22" s="12"/>
      <c r="E22" s="15" t="n">
        <f aca="false">IF(D22="",B22,D22)</f>
        <v>0.0672345695618489</v>
      </c>
    </row>
    <row r="23" customFormat="false" ht="15" hidden="false" customHeight="false" outlineLevel="0" collapsed="false">
      <c r="A23" s="5" t="s">
        <v>37</v>
      </c>
      <c r="B23" s="14" t="n">
        <f aca="false">(1+$B$7*COS(2*PI()*(6-IF($B$6="Southern",-0.5,5.5))/12))/12</f>
        <v>0.0672345695618489</v>
      </c>
      <c r="D23" s="12"/>
      <c r="E23" s="15" t="n">
        <f aca="false">IF(D23="",B23,D23)</f>
        <v>0.0672345695618489</v>
      </c>
    </row>
    <row r="24" customFormat="false" ht="15" hidden="false" customHeight="false" outlineLevel="0" collapsed="false">
      <c r="A24" s="5" t="s">
        <v>38</v>
      </c>
      <c r="B24" s="14" t="n">
        <f aca="false">(1+$B$7*COS(2*PI()*(7-IF($B$6="Southern",-0.5,5.5))/12))/12</f>
        <v>0.0715482203135575</v>
      </c>
      <c r="D24" s="12"/>
      <c r="E24" s="15" t="n">
        <f aca="false">IF(D24="",B24,D24)</f>
        <v>0.0715482203135575</v>
      </c>
    </row>
    <row r="25" customFormat="false" ht="15" hidden="false" customHeight="false" outlineLevel="0" collapsed="false">
      <c r="A25" s="5" t="s">
        <v>39</v>
      </c>
      <c r="B25" s="14" t="n">
        <f aca="false">(1+$B$7*COS(2*PI()*(8-IF($B$6="Southern",-0.5,5.5))/12))/12</f>
        <v>0.0790196825816247</v>
      </c>
      <c r="D25" s="12"/>
      <c r="E25" s="15" t="n">
        <f aca="false">IF(D25="",B25,D25)</f>
        <v>0.0790196825816247</v>
      </c>
    </row>
    <row r="26" customFormat="false" ht="15" hidden="false" customHeight="false" outlineLevel="0" collapsed="false">
      <c r="A26" s="5" t="s">
        <v>40</v>
      </c>
      <c r="B26" s="14" t="n">
        <f aca="false">(1+$B$7*COS(2*PI()*(9-IF($B$6="Southern",-0.5,5.5))/12))/12</f>
        <v>0.087646984085042</v>
      </c>
      <c r="D26" s="12"/>
      <c r="E26" s="15" t="n">
        <f aca="false">IF(D26="",B26,D26)</f>
        <v>0.087646984085042</v>
      </c>
    </row>
    <row r="27" customFormat="false" ht="15" hidden="false" customHeight="false" outlineLevel="0" collapsed="false">
      <c r="A27" s="5" t="s">
        <v>41</v>
      </c>
      <c r="B27" s="14" t="n">
        <f aca="false">(1+$B$7*COS(2*PI()*(10-IF($B$6="Southern",-0.5,5.5))/12))/12</f>
        <v>0.0951184463531091</v>
      </c>
      <c r="D27" s="12"/>
      <c r="E27" s="15" t="n">
        <f aca="false">IF(D27="",B27,D27)</f>
        <v>0.0951184463531091</v>
      </c>
    </row>
    <row r="28" customFormat="false" ht="15" hidden="false" customHeight="false" outlineLevel="0" collapsed="false">
      <c r="A28" s="5" t="s">
        <v>42</v>
      </c>
      <c r="B28" s="14" t="n">
        <f aca="false">(1+$B$7*COS(2*PI()*(11-IF($B$6="Southern",-0.5,5.5))/12))/12</f>
        <v>0.0994320971048178</v>
      </c>
      <c r="D28" s="12"/>
      <c r="E28" s="15" t="n">
        <f aca="false">IF(D28="",B28,D28)</f>
        <v>0.0994320971048178</v>
      </c>
    </row>
    <row r="29" customFormat="false" ht="15" hidden="false" customHeight="false" outlineLevel="0" collapsed="false">
      <c r="A29" s="16" t="s">
        <v>43</v>
      </c>
      <c r="E29" s="17" t="n">
        <f aca="false">SUM(E17:E28)</f>
        <v>1</v>
      </c>
    </row>
    <row r="30" customFormat="false" ht="15" hidden="false" customHeight="false" outlineLevel="0" collapsed="false">
      <c r="A30" s="2" t="s">
        <v>44</v>
      </c>
    </row>
  </sheetData>
  <dataValidations count="1">
    <dataValidation allowBlank="false" errorStyle="stop" operator="between" showDropDown="false" showErrorMessage="false" showInputMessage="false" sqref="B6" type="list">
      <formula1>"Southern,Northern"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4" min="2" style="0" width="12"/>
    <col collapsed="false" customWidth="true" hidden="false" outlineLevel="0" max="5" min="5" style="0" width="32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10" min="9" style="0" width="12"/>
    <col collapsed="false" customWidth="true" hidden="false" outlineLevel="0" max="11" min="11" style="0" width="34"/>
  </cols>
  <sheetData>
    <row r="1" customFormat="false" ht="19.7" hidden="false" customHeight="false" outlineLevel="0" collapsed="false">
      <c r="A1" s="1" t="s">
        <v>45</v>
      </c>
    </row>
    <row r="2" customFormat="false" ht="15" hidden="false" customHeight="false" outlineLevel="0" collapsed="false">
      <c r="A2" s="2" t="s">
        <v>46</v>
      </c>
    </row>
    <row r="4" customFormat="false" ht="43.5" hidden="false" customHeight="true" outlineLevel="0" collapsed="false">
      <c r="A4" s="13" t="s">
        <v>27</v>
      </c>
      <c r="B4" s="13" t="s">
        <v>47</v>
      </c>
      <c r="C4" s="13" t="s">
        <v>48</v>
      </c>
      <c r="D4" s="13" t="s">
        <v>49</v>
      </c>
      <c r="E4" s="13" t="s">
        <v>50</v>
      </c>
      <c r="F4" s="13" t="s">
        <v>51</v>
      </c>
      <c r="G4" s="13" t="s">
        <v>52</v>
      </c>
      <c r="H4" s="13" t="s">
        <v>53</v>
      </c>
      <c r="I4" s="13" t="s">
        <v>54</v>
      </c>
      <c r="J4" s="13" t="s">
        <v>55</v>
      </c>
      <c r="K4" s="13" t="s">
        <v>56</v>
      </c>
    </row>
    <row r="5" customFormat="false" ht="15" hidden="false" customHeight="false" outlineLevel="0" collapsed="false">
      <c r="A5" s="18" t="n">
        <f aca="false">EDATE(Setup!$B$8,0)</f>
        <v>46327</v>
      </c>
      <c r="B5" s="7"/>
      <c r="C5" s="7"/>
      <c r="D5" s="7"/>
      <c r="E5" s="8"/>
      <c r="F5" s="19" t="n">
        <f aca="false">Setup!$B$4*Setup!$B$5*INDEX(Setup!$E$17:$E$28,MONTH(A5))*(1-Setup!$B$11)^INT(0/12)</f>
        <v>1261.27059864223</v>
      </c>
      <c r="G5" s="20" t="str">
        <f aca="false">IF(B5="","",B5/F5)</f>
        <v/>
      </c>
      <c r="H5" s="19" t="str">
        <f aca="false">IF(ROW()-12&lt;5,"",IF(INDEX(B:B,ROW()-12)="","",INDEX(B:B,ROW()-12)))</f>
        <v/>
      </c>
      <c r="I5" s="21" t="str">
        <f aca="false">IF(OR(B5="",H5=""),"",B5/H5-1)</f>
        <v/>
      </c>
      <c r="J5" s="19" t="str">
        <f aca="false">IF(B5="","",(B5-N(D5))*Setup!$B$9+N(D5)*Setup!$B$10)</f>
        <v/>
      </c>
      <c r="K5" s="22" t="str">
        <f aca="false">IF(B5="","",IF(G5&lt;0.9,"CHECK: "&amp;TEXT(1-G5,"0%")&amp;" below expected",IF(AND(I5&lt;&gt;"",I5&lt;-0.15),"CHECK: "&amp;TEXT(-I5,"0%")&amp;" below last year","OK")))</f>
        <v/>
      </c>
    </row>
    <row r="6" customFormat="false" ht="15" hidden="false" customHeight="false" outlineLevel="0" collapsed="false">
      <c r="A6" s="18" t="n">
        <f aca="false">EDATE(Setup!$B$8,1)</f>
        <v>46357</v>
      </c>
      <c r="B6" s="7"/>
      <c r="C6" s="7"/>
      <c r="D6" s="7"/>
      <c r="E6" s="8"/>
      <c r="F6" s="19" t="n">
        <f aca="false">Setup!$B$4*Setup!$B$5*INDEX(Setup!$E$17:$E$28,MONTH(A6))*(1-Setup!$B$11)^INT(1/12)</f>
        <v>1318.46960760988</v>
      </c>
      <c r="G6" s="20" t="str">
        <f aca="false">IF(B6="","",B6/F6)</f>
        <v/>
      </c>
      <c r="H6" s="19" t="str">
        <f aca="false">IF(ROW()-12&lt;5,"",IF(INDEX(B:B,ROW()-12)="","",INDEX(B:B,ROW()-12)))</f>
        <v/>
      </c>
      <c r="I6" s="21" t="str">
        <f aca="false">IF(OR(B6="",H6=""),"",B6/H6-1)</f>
        <v/>
      </c>
      <c r="J6" s="19" t="str">
        <f aca="false">IF(B6="","",(B6-N(D6))*Setup!$B$9+N(D6)*Setup!$B$10)</f>
        <v/>
      </c>
      <c r="K6" s="22" t="str">
        <f aca="false">IF(B6="","",IF(G6&lt;0.9,"CHECK: "&amp;TEXT(1-G6,"0%")&amp;" below expected",IF(AND(I6&lt;&gt;"",I6&lt;-0.15),"CHECK: "&amp;TEXT(-I6,"0%")&amp;" below last year","OK")))</f>
        <v/>
      </c>
    </row>
    <row r="7" customFormat="false" ht="15" hidden="false" customHeight="false" outlineLevel="0" collapsed="false">
      <c r="A7" s="18" t="n">
        <f aca="false">EDATE(Setup!$B$8,2)</f>
        <v>46388</v>
      </c>
      <c r="B7" s="7"/>
      <c r="C7" s="7"/>
      <c r="D7" s="7"/>
      <c r="E7" s="8"/>
      <c r="F7" s="19" t="n">
        <f aca="false">Setup!$B$4*Setup!$B$5*INDEX(Setup!$E$17:$E$28,MONTH(A7))*(1-Setup!$B$11)^INT(2/12)</f>
        <v>1318.46960760988</v>
      </c>
      <c r="G7" s="20" t="str">
        <f aca="false">IF(B7="","",B7/F7)</f>
        <v/>
      </c>
      <c r="H7" s="19" t="str">
        <f aca="false">IF(ROW()-12&lt;5,"",IF(INDEX(B:B,ROW()-12)="","",INDEX(B:B,ROW()-12)))</f>
        <v/>
      </c>
      <c r="I7" s="21" t="str">
        <f aca="false">IF(OR(B7="",H7=""),"",B7/H7-1)</f>
        <v/>
      </c>
      <c r="J7" s="19" t="str">
        <f aca="false">IF(B7="","",(B7-N(D7))*Setup!$B$9+N(D7)*Setup!$B$10)</f>
        <v/>
      </c>
      <c r="K7" s="22" t="str">
        <f aca="false">IF(B7="","",IF(G7&lt;0.9,"CHECK: "&amp;TEXT(1-G7,"0%")&amp;" below expected",IF(AND(I7&lt;&gt;"",I7&lt;-0.15),"CHECK: "&amp;TEXT(-I7,"0%")&amp;" below last year","OK")))</f>
        <v/>
      </c>
    </row>
    <row r="8" customFormat="false" ht="15" hidden="false" customHeight="false" outlineLevel="0" collapsed="false">
      <c r="A8" s="18" t="n">
        <f aca="false">EDATE(Setup!$B$8,3)</f>
        <v>46419</v>
      </c>
      <c r="B8" s="7"/>
      <c r="C8" s="7"/>
      <c r="D8" s="7"/>
      <c r="E8" s="8"/>
      <c r="F8" s="19" t="n">
        <f aca="false">Setup!$B$4*Setup!$B$5*INDEX(Setup!$E$17:$E$28,MONTH(A8))*(1-Setup!$B$11)^INT(3/12)</f>
        <v>1261.27059864223</v>
      </c>
      <c r="G8" s="20" t="str">
        <f aca="false">IF(B8="","",B8/F8)</f>
        <v/>
      </c>
      <c r="H8" s="19" t="str">
        <f aca="false">IF(ROW()-12&lt;5,"",IF(INDEX(B:B,ROW()-12)="","",INDEX(B:B,ROW()-12)))</f>
        <v/>
      </c>
      <c r="I8" s="21" t="str">
        <f aca="false">IF(OR(B8="",H8=""),"",B8/H8-1)</f>
        <v/>
      </c>
      <c r="J8" s="19" t="str">
        <f aca="false">IF(B8="","",(B8-N(D8))*Setup!$B$9+N(D8)*Setup!$B$10)</f>
        <v/>
      </c>
      <c r="K8" s="22" t="str">
        <f aca="false">IF(B8="","",IF(G8&lt;0.9,"CHECK: "&amp;TEXT(1-G8,"0%")&amp;" below expected",IF(AND(I8&lt;&gt;"",I8&lt;-0.15),"CHECK: "&amp;TEXT(-I8,"0%")&amp;" below last year","OK")))</f>
        <v/>
      </c>
    </row>
    <row r="9" customFormat="false" ht="15" hidden="false" customHeight="false" outlineLevel="0" collapsed="false">
      <c r="A9" s="18" t="n">
        <f aca="false">EDATE(Setup!$B$8,4)</f>
        <v>46447</v>
      </c>
      <c r="B9" s="7"/>
      <c r="C9" s="7"/>
      <c r="D9" s="7"/>
      <c r="E9" s="8"/>
      <c r="F9" s="19" t="n">
        <f aca="false">Setup!$B$4*Setup!$B$5*INDEX(Setup!$E$17:$E$28,MONTH(A9))*(1-Setup!$B$11)^INT(4/12)</f>
        <v>1162.19900896766</v>
      </c>
      <c r="G9" s="20" t="str">
        <f aca="false">IF(B9="","",B9/F9)</f>
        <v/>
      </c>
      <c r="H9" s="19" t="str">
        <f aca="false">IF(ROW()-12&lt;5,"",IF(INDEX(B:B,ROW()-12)="","",INDEX(B:B,ROW()-12)))</f>
        <v/>
      </c>
      <c r="I9" s="21" t="str">
        <f aca="false">IF(OR(B9="",H9=""),"",B9/H9-1)</f>
        <v/>
      </c>
      <c r="J9" s="19" t="str">
        <f aca="false">IF(B9="","",(B9-N(D9))*Setup!$B$9+N(D9)*Setup!$B$10)</f>
        <v/>
      </c>
      <c r="K9" s="22" t="str">
        <f aca="false">IF(B9="","",IF(G9&lt;0.9,"CHECK: "&amp;TEXT(1-G9,"0%")&amp;" below expected",IF(AND(I9&lt;&gt;"",I9&lt;-0.15),"CHECK: "&amp;TEXT(-I9,"0%")&amp;" below last year","OK")))</f>
        <v/>
      </c>
    </row>
    <row r="10" customFormat="false" ht="15" hidden="false" customHeight="false" outlineLevel="0" collapsed="false">
      <c r="A10" s="18" t="n">
        <f aca="false">EDATE(Setup!$B$8,5)</f>
        <v>46478</v>
      </c>
      <c r="B10" s="7"/>
      <c r="C10" s="7"/>
      <c r="D10" s="7"/>
      <c r="E10" s="8"/>
      <c r="F10" s="19" t="n">
        <f aca="false">Setup!$B$4*Setup!$B$5*INDEX(Setup!$E$17:$E$28,MONTH(A10))*(1-Setup!$B$11)^INT(5/12)</f>
        <v>1047.80099103234</v>
      </c>
      <c r="G10" s="20" t="str">
        <f aca="false">IF(B10="","",B10/F10)</f>
        <v/>
      </c>
      <c r="H10" s="19" t="str">
        <f aca="false">IF(ROW()-12&lt;5,"",IF(INDEX(B:B,ROW()-12)="","",INDEX(B:B,ROW()-12)))</f>
        <v/>
      </c>
      <c r="I10" s="21" t="str">
        <f aca="false">IF(OR(B10="",H10=""),"",B10/H10-1)</f>
        <v/>
      </c>
      <c r="J10" s="19" t="str">
        <f aca="false">IF(B10="","",(B10-N(D10))*Setup!$B$9+N(D10)*Setup!$B$10)</f>
        <v/>
      </c>
      <c r="K10" s="22" t="str">
        <f aca="false">IF(B10="","",IF(G10&lt;0.9,"CHECK: "&amp;TEXT(1-G10,"0%")&amp;" below expected",IF(AND(I10&lt;&gt;"",I10&lt;-0.15),"CHECK: "&amp;TEXT(-I10,"0%")&amp;" below last year","OK")))</f>
        <v/>
      </c>
    </row>
    <row r="11" customFormat="false" ht="15" hidden="false" customHeight="false" outlineLevel="0" collapsed="false">
      <c r="A11" s="18" t="n">
        <f aca="false">EDATE(Setup!$B$8,6)</f>
        <v>46508</v>
      </c>
      <c r="B11" s="7"/>
      <c r="C11" s="7"/>
      <c r="D11" s="7"/>
      <c r="E11" s="8"/>
      <c r="F11" s="19" t="n">
        <f aca="false">Setup!$B$4*Setup!$B$5*INDEX(Setup!$E$17:$E$28,MONTH(A11))*(1-Setup!$B$11)^INT(6/12)</f>
        <v>948.729401357773</v>
      </c>
      <c r="G11" s="20" t="str">
        <f aca="false">IF(B11="","",B11/F11)</f>
        <v/>
      </c>
      <c r="H11" s="19" t="str">
        <f aca="false">IF(ROW()-12&lt;5,"",IF(INDEX(B:B,ROW()-12)="","",INDEX(B:B,ROW()-12)))</f>
        <v/>
      </c>
      <c r="I11" s="21" t="str">
        <f aca="false">IF(OR(B11="",H11=""),"",B11/H11-1)</f>
        <v/>
      </c>
      <c r="J11" s="19" t="str">
        <f aca="false">IF(B11="","",(B11-N(D11))*Setup!$B$9+N(D11)*Setup!$B$10)</f>
        <v/>
      </c>
      <c r="K11" s="22" t="str">
        <f aca="false">IF(B11="","",IF(G11&lt;0.9,"CHECK: "&amp;TEXT(1-G11,"0%")&amp;" below expected",IF(AND(I11&lt;&gt;"",I11&lt;-0.15),"CHECK: "&amp;TEXT(-I11,"0%")&amp;" below last year","OK")))</f>
        <v/>
      </c>
    </row>
    <row r="12" customFormat="false" ht="15" hidden="false" customHeight="false" outlineLevel="0" collapsed="false">
      <c r="A12" s="18" t="n">
        <f aca="false">EDATE(Setup!$B$8,7)</f>
        <v>46539</v>
      </c>
      <c r="B12" s="7"/>
      <c r="C12" s="7"/>
      <c r="D12" s="7"/>
      <c r="E12" s="8"/>
      <c r="F12" s="19" t="n">
        <f aca="false">Setup!$B$4*Setup!$B$5*INDEX(Setup!$E$17:$E$28,MONTH(A12))*(1-Setup!$B$11)^INT(7/12)</f>
        <v>891.530392390116</v>
      </c>
      <c r="G12" s="20" t="str">
        <f aca="false">IF(B12="","",B12/F12)</f>
        <v/>
      </c>
      <c r="H12" s="19" t="str">
        <f aca="false">IF(ROW()-12&lt;5,"",IF(INDEX(B:B,ROW()-12)="","",INDEX(B:B,ROW()-12)))</f>
        <v/>
      </c>
      <c r="I12" s="21" t="str">
        <f aca="false">IF(OR(B12="",H12=""),"",B12/H12-1)</f>
        <v/>
      </c>
      <c r="J12" s="19" t="str">
        <f aca="false">IF(B12="","",(B12-N(D12))*Setup!$B$9+N(D12)*Setup!$B$10)</f>
        <v/>
      </c>
      <c r="K12" s="22" t="str">
        <f aca="false">IF(B12="","",IF(G12&lt;0.9,"CHECK: "&amp;TEXT(1-G12,"0%")&amp;" below expected",IF(AND(I12&lt;&gt;"",I12&lt;-0.15),"CHECK: "&amp;TEXT(-I12,"0%")&amp;" below last year","OK")))</f>
        <v/>
      </c>
    </row>
    <row r="13" customFormat="false" ht="15" hidden="false" customHeight="false" outlineLevel="0" collapsed="false">
      <c r="A13" s="18" t="n">
        <f aca="false">EDATE(Setup!$B$8,8)</f>
        <v>46569</v>
      </c>
      <c r="B13" s="7"/>
      <c r="C13" s="7"/>
      <c r="D13" s="7"/>
      <c r="E13" s="8"/>
      <c r="F13" s="19" t="n">
        <f aca="false">Setup!$B$4*Setup!$B$5*INDEX(Setup!$E$17:$E$28,MONTH(A13))*(1-Setup!$B$11)^INT(8/12)</f>
        <v>891.530392390116</v>
      </c>
      <c r="G13" s="20" t="str">
        <f aca="false">IF(B13="","",B13/F13)</f>
        <v/>
      </c>
      <c r="H13" s="19" t="str">
        <f aca="false">IF(ROW()-12&lt;5,"",IF(INDEX(B:B,ROW()-12)="","",INDEX(B:B,ROW()-12)))</f>
        <v/>
      </c>
      <c r="I13" s="21" t="str">
        <f aca="false">IF(OR(B13="",H13=""),"",B13/H13-1)</f>
        <v/>
      </c>
      <c r="J13" s="19" t="str">
        <f aca="false">IF(B13="","",(B13-N(D13))*Setup!$B$9+N(D13)*Setup!$B$10)</f>
        <v/>
      </c>
      <c r="K13" s="22" t="str">
        <f aca="false">IF(B13="","",IF(G13&lt;0.9,"CHECK: "&amp;TEXT(1-G13,"0%")&amp;" below expected",IF(AND(I13&lt;&gt;"",I13&lt;-0.15),"CHECK: "&amp;TEXT(-I13,"0%")&amp;" below last year","OK")))</f>
        <v/>
      </c>
    </row>
    <row r="14" customFormat="false" ht="15" hidden="false" customHeight="false" outlineLevel="0" collapsed="false">
      <c r="A14" s="18" t="n">
        <f aca="false">EDATE(Setup!$B$8,9)</f>
        <v>46600</v>
      </c>
      <c r="B14" s="7"/>
      <c r="C14" s="7"/>
      <c r="D14" s="7"/>
      <c r="E14" s="8"/>
      <c r="F14" s="19" t="n">
        <f aca="false">Setup!$B$4*Setup!$B$5*INDEX(Setup!$E$17:$E$28,MONTH(A14))*(1-Setup!$B$11)^INT(9/12)</f>
        <v>948.729401357773</v>
      </c>
      <c r="G14" s="20" t="str">
        <f aca="false">IF(B14="","",B14/F14)</f>
        <v/>
      </c>
      <c r="H14" s="19" t="str">
        <f aca="false">IF(ROW()-12&lt;5,"",IF(INDEX(B:B,ROW()-12)="","",INDEX(B:B,ROW()-12)))</f>
        <v/>
      </c>
      <c r="I14" s="21" t="str">
        <f aca="false">IF(OR(B14="",H14=""),"",B14/H14-1)</f>
        <v/>
      </c>
      <c r="J14" s="19" t="str">
        <f aca="false">IF(B14="","",(B14-N(D14))*Setup!$B$9+N(D14)*Setup!$B$10)</f>
        <v/>
      </c>
      <c r="K14" s="22" t="str">
        <f aca="false">IF(B14="","",IF(G14&lt;0.9,"CHECK: "&amp;TEXT(1-G14,"0%")&amp;" below expected",IF(AND(I14&lt;&gt;"",I14&lt;-0.15),"CHECK: "&amp;TEXT(-I14,"0%")&amp;" below last year","OK")))</f>
        <v/>
      </c>
    </row>
    <row r="15" customFormat="false" ht="15" hidden="false" customHeight="false" outlineLevel="0" collapsed="false">
      <c r="A15" s="18" t="n">
        <f aca="false">EDATE(Setup!$B$8,10)</f>
        <v>46631</v>
      </c>
      <c r="B15" s="7"/>
      <c r="C15" s="7"/>
      <c r="D15" s="7"/>
      <c r="E15" s="8"/>
      <c r="F15" s="19" t="n">
        <f aca="false">Setup!$B$4*Setup!$B$5*INDEX(Setup!$E$17:$E$28,MONTH(A15))*(1-Setup!$B$11)^INT(10/12)</f>
        <v>1047.80099103234</v>
      </c>
      <c r="G15" s="20" t="str">
        <f aca="false">IF(B15="","",B15/F15)</f>
        <v/>
      </c>
      <c r="H15" s="19" t="str">
        <f aca="false">IF(ROW()-12&lt;5,"",IF(INDEX(B:B,ROW()-12)="","",INDEX(B:B,ROW()-12)))</f>
        <v/>
      </c>
      <c r="I15" s="21" t="str">
        <f aca="false">IF(OR(B15="",H15=""),"",B15/H15-1)</f>
        <v/>
      </c>
      <c r="J15" s="19" t="str">
        <f aca="false">IF(B15="","",(B15-N(D15))*Setup!$B$9+N(D15)*Setup!$B$10)</f>
        <v/>
      </c>
      <c r="K15" s="22" t="str">
        <f aca="false">IF(B15="","",IF(G15&lt;0.9,"CHECK: "&amp;TEXT(1-G15,"0%")&amp;" below expected",IF(AND(I15&lt;&gt;"",I15&lt;-0.15),"CHECK: "&amp;TEXT(-I15,"0%")&amp;" below last year","OK")))</f>
        <v/>
      </c>
    </row>
    <row r="16" customFormat="false" ht="15" hidden="false" customHeight="false" outlineLevel="0" collapsed="false">
      <c r="A16" s="18" t="n">
        <f aca="false">EDATE(Setup!$B$8,11)</f>
        <v>46661</v>
      </c>
      <c r="B16" s="7"/>
      <c r="C16" s="7"/>
      <c r="D16" s="7"/>
      <c r="E16" s="8"/>
      <c r="F16" s="19" t="n">
        <f aca="false">Setup!$B$4*Setup!$B$5*INDEX(Setup!$E$17:$E$28,MONTH(A16))*(1-Setup!$B$11)^INT(11/12)</f>
        <v>1162.19900896766</v>
      </c>
      <c r="G16" s="20" t="str">
        <f aca="false">IF(B16="","",B16/F16)</f>
        <v/>
      </c>
      <c r="H16" s="19" t="str">
        <f aca="false">IF(ROW()-12&lt;5,"",IF(INDEX(B:B,ROW()-12)="","",INDEX(B:B,ROW()-12)))</f>
        <v/>
      </c>
      <c r="I16" s="21" t="str">
        <f aca="false">IF(OR(B16="",H16=""),"",B16/H16-1)</f>
        <v/>
      </c>
      <c r="J16" s="19" t="str">
        <f aca="false">IF(B16="","",(B16-N(D16))*Setup!$B$9+N(D16)*Setup!$B$10)</f>
        <v/>
      </c>
      <c r="K16" s="22" t="str">
        <f aca="false">IF(B16="","",IF(G16&lt;0.9,"CHECK: "&amp;TEXT(1-G16,"0%")&amp;" below expected",IF(AND(I16&lt;&gt;"",I16&lt;-0.15),"CHECK: "&amp;TEXT(-I16,"0%")&amp;" below last year","OK")))</f>
        <v/>
      </c>
    </row>
    <row r="17" customFormat="false" ht="15" hidden="false" customHeight="false" outlineLevel="0" collapsed="false">
      <c r="A17" s="18" t="n">
        <f aca="false">EDATE(Setup!$B$8,12)</f>
        <v>46692</v>
      </c>
      <c r="B17" s="7"/>
      <c r="C17" s="7"/>
      <c r="D17" s="7"/>
      <c r="E17" s="8"/>
      <c r="F17" s="19" t="n">
        <f aca="false">Setup!$B$4*Setup!$B$5*INDEX(Setup!$E$17:$E$28,MONTH(A17))*(1-Setup!$B$11)^INT(12/12)</f>
        <v>1254.96424564902</v>
      </c>
      <c r="G17" s="20" t="str">
        <f aca="false">IF(B17="","",B17/F17)</f>
        <v/>
      </c>
      <c r="H17" s="19" t="str">
        <f aca="false">IF(ROW()-12&lt;5,"",IF(INDEX(B:B,ROW()-12)="","",INDEX(B:B,ROW()-12)))</f>
        <v/>
      </c>
      <c r="I17" s="21" t="str">
        <f aca="false">IF(OR(B17="",H17=""),"",B17/H17-1)</f>
        <v/>
      </c>
      <c r="J17" s="19" t="str">
        <f aca="false">IF(B17="","",(B17-N(D17))*Setup!$B$9+N(D17)*Setup!$B$10)</f>
        <v/>
      </c>
      <c r="K17" s="22" t="str">
        <f aca="false">IF(B17="","",IF(G17&lt;0.9,"CHECK: "&amp;TEXT(1-G17,"0%")&amp;" below expected",IF(AND(I17&lt;&gt;"",I17&lt;-0.15),"CHECK: "&amp;TEXT(-I17,"0%")&amp;" below last year","OK")))</f>
        <v/>
      </c>
    </row>
    <row r="18" customFormat="false" ht="15" hidden="false" customHeight="false" outlineLevel="0" collapsed="false">
      <c r="A18" s="18" t="n">
        <f aca="false">EDATE(Setup!$B$8,13)</f>
        <v>46722</v>
      </c>
      <c r="B18" s="7"/>
      <c r="C18" s="7"/>
      <c r="D18" s="7"/>
      <c r="E18" s="8"/>
      <c r="F18" s="19" t="n">
        <f aca="false">Setup!$B$4*Setup!$B$5*INDEX(Setup!$E$17:$E$28,MONTH(A18))*(1-Setup!$B$11)^INT(13/12)</f>
        <v>1311.87725957183</v>
      </c>
      <c r="G18" s="20" t="str">
        <f aca="false">IF(B18="","",B18/F18)</f>
        <v/>
      </c>
      <c r="H18" s="19" t="str">
        <f aca="false">IF(ROW()-12&lt;5,"",IF(INDEX(B:B,ROW()-12)="","",INDEX(B:B,ROW()-12)))</f>
        <v/>
      </c>
      <c r="I18" s="21" t="str">
        <f aca="false">IF(OR(B18="",H18=""),"",B18/H18-1)</f>
        <v/>
      </c>
      <c r="J18" s="19" t="str">
        <f aca="false">IF(B18="","",(B18-N(D18))*Setup!$B$9+N(D18)*Setup!$B$10)</f>
        <v/>
      </c>
      <c r="K18" s="22" t="str">
        <f aca="false">IF(B18="","",IF(G18&lt;0.9,"CHECK: "&amp;TEXT(1-G18,"0%")&amp;" below expected",IF(AND(I18&lt;&gt;"",I18&lt;-0.15),"CHECK: "&amp;TEXT(-I18,"0%")&amp;" below last year","OK")))</f>
        <v/>
      </c>
    </row>
    <row r="19" customFormat="false" ht="15" hidden="false" customHeight="false" outlineLevel="0" collapsed="false">
      <c r="A19" s="18" t="n">
        <f aca="false">EDATE(Setup!$B$8,14)</f>
        <v>46753</v>
      </c>
      <c r="B19" s="7"/>
      <c r="C19" s="7"/>
      <c r="D19" s="7"/>
      <c r="E19" s="8"/>
      <c r="F19" s="19" t="n">
        <f aca="false">Setup!$B$4*Setup!$B$5*INDEX(Setup!$E$17:$E$28,MONTH(A19))*(1-Setup!$B$11)^INT(14/12)</f>
        <v>1311.87725957183</v>
      </c>
      <c r="G19" s="20" t="str">
        <f aca="false">IF(B19="","",B19/F19)</f>
        <v/>
      </c>
      <c r="H19" s="19" t="str">
        <f aca="false">IF(ROW()-12&lt;5,"",IF(INDEX(B:B,ROW()-12)="","",INDEX(B:B,ROW()-12)))</f>
        <v/>
      </c>
      <c r="I19" s="21" t="str">
        <f aca="false">IF(OR(B19="",H19=""),"",B19/H19-1)</f>
        <v/>
      </c>
      <c r="J19" s="19" t="str">
        <f aca="false">IF(B19="","",(B19-N(D19))*Setup!$B$9+N(D19)*Setup!$B$10)</f>
        <v/>
      </c>
      <c r="K19" s="22" t="str">
        <f aca="false">IF(B19="","",IF(G19&lt;0.9,"CHECK: "&amp;TEXT(1-G19,"0%")&amp;" below expected",IF(AND(I19&lt;&gt;"",I19&lt;-0.15),"CHECK: "&amp;TEXT(-I19,"0%")&amp;" below last year","OK")))</f>
        <v/>
      </c>
    </row>
    <row r="20" customFormat="false" ht="15" hidden="false" customHeight="false" outlineLevel="0" collapsed="false">
      <c r="A20" s="18" t="n">
        <f aca="false">EDATE(Setup!$B$8,15)</f>
        <v>46784</v>
      </c>
      <c r="B20" s="7"/>
      <c r="C20" s="7"/>
      <c r="D20" s="7"/>
      <c r="E20" s="8"/>
      <c r="F20" s="19" t="n">
        <f aca="false">Setup!$B$4*Setup!$B$5*INDEX(Setup!$E$17:$E$28,MONTH(A20))*(1-Setup!$B$11)^INT(15/12)</f>
        <v>1254.96424564902</v>
      </c>
      <c r="G20" s="20" t="str">
        <f aca="false">IF(B20="","",B20/F20)</f>
        <v/>
      </c>
      <c r="H20" s="19" t="str">
        <f aca="false">IF(ROW()-12&lt;5,"",IF(INDEX(B:B,ROW()-12)="","",INDEX(B:B,ROW()-12)))</f>
        <v/>
      </c>
      <c r="I20" s="21" t="str">
        <f aca="false">IF(OR(B20="",H20=""),"",B20/H20-1)</f>
        <v/>
      </c>
      <c r="J20" s="19" t="str">
        <f aca="false">IF(B20="","",(B20-N(D20))*Setup!$B$9+N(D20)*Setup!$B$10)</f>
        <v/>
      </c>
      <c r="K20" s="22" t="str">
        <f aca="false">IF(B20="","",IF(G20&lt;0.9,"CHECK: "&amp;TEXT(1-G20,"0%")&amp;" below expected",IF(AND(I20&lt;&gt;"",I20&lt;-0.15),"CHECK: "&amp;TEXT(-I20,"0%")&amp;" below last year","OK")))</f>
        <v/>
      </c>
    </row>
    <row r="21" customFormat="false" ht="15" hidden="false" customHeight="false" outlineLevel="0" collapsed="false">
      <c r="A21" s="18" t="n">
        <f aca="false">EDATE(Setup!$B$8,16)</f>
        <v>46813</v>
      </c>
      <c r="B21" s="7"/>
      <c r="C21" s="7"/>
      <c r="D21" s="7"/>
      <c r="E21" s="8"/>
      <c r="F21" s="19" t="n">
        <f aca="false">Setup!$B$4*Setup!$B$5*INDEX(Setup!$E$17:$E$28,MONTH(A21))*(1-Setup!$B$11)^INT(16/12)</f>
        <v>1156.38801392282</v>
      </c>
      <c r="G21" s="20" t="str">
        <f aca="false">IF(B21="","",B21/F21)</f>
        <v/>
      </c>
      <c r="H21" s="19" t="str">
        <f aca="false">IF(ROW()-12&lt;5,"",IF(INDEX(B:B,ROW()-12)="","",INDEX(B:B,ROW()-12)))</f>
        <v/>
      </c>
      <c r="I21" s="21" t="str">
        <f aca="false">IF(OR(B21="",H21=""),"",B21/H21-1)</f>
        <v/>
      </c>
      <c r="J21" s="19" t="str">
        <f aca="false">IF(B21="","",(B21-N(D21))*Setup!$B$9+N(D21)*Setup!$B$10)</f>
        <v/>
      </c>
      <c r="K21" s="22" t="str">
        <f aca="false">IF(B21="","",IF(G21&lt;0.9,"CHECK: "&amp;TEXT(1-G21,"0%")&amp;" below expected",IF(AND(I21&lt;&gt;"",I21&lt;-0.15),"CHECK: "&amp;TEXT(-I21,"0%")&amp;" below last year","OK")))</f>
        <v/>
      </c>
    </row>
    <row r="22" customFormat="false" ht="15" hidden="false" customHeight="false" outlineLevel="0" collapsed="false">
      <c r="A22" s="18" t="n">
        <f aca="false">EDATE(Setup!$B$8,17)</f>
        <v>46844</v>
      </c>
      <c r="B22" s="7"/>
      <c r="C22" s="7"/>
      <c r="D22" s="7"/>
      <c r="E22" s="8"/>
      <c r="F22" s="19" t="n">
        <f aca="false">Setup!$B$4*Setup!$B$5*INDEX(Setup!$E$17:$E$28,MONTH(A22))*(1-Setup!$B$11)^INT(17/12)</f>
        <v>1042.56198607718</v>
      </c>
      <c r="G22" s="20" t="str">
        <f aca="false">IF(B22="","",B22/F22)</f>
        <v/>
      </c>
      <c r="H22" s="19" t="str">
        <f aca="false">IF(ROW()-12&lt;5,"",IF(INDEX(B:B,ROW()-12)="","",INDEX(B:B,ROW()-12)))</f>
        <v/>
      </c>
      <c r="I22" s="21" t="str">
        <f aca="false">IF(OR(B22="",H22=""),"",B22/H22-1)</f>
        <v/>
      </c>
      <c r="J22" s="19" t="str">
        <f aca="false">IF(B22="","",(B22-N(D22))*Setup!$B$9+N(D22)*Setup!$B$10)</f>
        <v/>
      </c>
      <c r="K22" s="22" t="str">
        <f aca="false">IF(B22="","",IF(G22&lt;0.9,"CHECK: "&amp;TEXT(1-G22,"0%")&amp;" below expected",IF(AND(I22&lt;&gt;"",I22&lt;-0.15),"CHECK: "&amp;TEXT(-I22,"0%")&amp;" below last year","OK")))</f>
        <v/>
      </c>
    </row>
    <row r="23" customFormat="false" ht="15" hidden="false" customHeight="false" outlineLevel="0" collapsed="false">
      <c r="A23" s="18" t="n">
        <f aca="false">EDATE(Setup!$B$8,18)</f>
        <v>46874</v>
      </c>
      <c r="B23" s="7"/>
      <c r="C23" s="7"/>
      <c r="D23" s="7"/>
      <c r="E23" s="8"/>
      <c r="F23" s="19" t="n">
        <f aca="false">Setup!$B$4*Setup!$B$5*INDEX(Setup!$E$17:$E$28,MONTH(A23))*(1-Setup!$B$11)^INT(18/12)</f>
        <v>943.985754350984</v>
      </c>
      <c r="G23" s="20" t="str">
        <f aca="false">IF(B23="","",B23/F23)</f>
        <v/>
      </c>
      <c r="H23" s="19" t="str">
        <f aca="false">IF(ROW()-12&lt;5,"",IF(INDEX(B:B,ROW()-12)="","",INDEX(B:B,ROW()-12)))</f>
        <v/>
      </c>
      <c r="I23" s="21" t="str">
        <f aca="false">IF(OR(B23="",H23=""),"",B23/H23-1)</f>
        <v/>
      </c>
      <c r="J23" s="19" t="str">
        <f aca="false">IF(B23="","",(B23-N(D23))*Setup!$B$9+N(D23)*Setup!$B$10)</f>
        <v/>
      </c>
      <c r="K23" s="22" t="str">
        <f aca="false">IF(B23="","",IF(G23&lt;0.9,"CHECK: "&amp;TEXT(1-G23,"0%")&amp;" below expected",IF(AND(I23&lt;&gt;"",I23&lt;-0.15),"CHECK: "&amp;TEXT(-I23,"0%")&amp;" below last year","OK")))</f>
        <v/>
      </c>
    </row>
    <row r="24" customFormat="false" ht="15" hidden="false" customHeight="false" outlineLevel="0" collapsed="false">
      <c r="A24" s="18" t="n">
        <f aca="false">EDATE(Setup!$B$8,19)</f>
        <v>46905</v>
      </c>
      <c r="B24" s="7"/>
      <c r="C24" s="7"/>
      <c r="D24" s="7"/>
      <c r="E24" s="8"/>
      <c r="F24" s="19" t="n">
        <f aca="false">Setup!$B$4*Setup!$B$5*INDEX(Setup!$E$17:$E$28,MONTH(A24))*(1-Setup!$B$11)^INT(19/12)</f>
        <v>887.072740428165</v>
      </c>
      <c r="G24" s="20" t="str">
        <f aca="false">IF(B24="","",B24/F24)</f>
        <v/>
      </c>
      <c r="H24" s="19" t="str">
        <f aca="false">IF(ROW()-12&lt;5,"",IF(INDEX(B:B,ROW()-12)="","",INDEX(B:B,ROW()-12)))</f>
        <v/>
      </c>
      <c r="I24" s="21" t="str">
        <f aca="false">IF(OR(B24="",H24=""),"",B24/H24-1)</f>
        <v/>
      </c>
      <c r="J24" s="19" t="str">
        <f aca="false">IF(B24="","",(B24-N(D24))*Setup!$B$9+N(D24)*Setup!$B$10)</f>
        <v/>
      </c>
      <c r="K24" s="22" t="str">
        <f aca="false">IF(B24="","",IF(G24&lt;0.9,"CHECK: "&amp;TEXT(1-G24,"0%")&amp;" below expected",IF(AND(I24&lt;&gt;"",I24&lt;-0.15),"CHECK: "&amp;TEXT(-I24,"0%")&amp;" below last year","OK")))</f>
        <v/>
      </c>
    </row>
    <row r="25" customFormat="false" ht="15" hidden="false" customHeight="false" outlineLevel="0" collapsed="false">
      <c r="A25" s="18" t="n">
        <f aca="false">EDATE(Setup!$B$8,20)</f>
        <v>46935</v>
      </c>
      <c r="B25" s="7"/>
      <c r="C25" s="7"/>
      <c r="D25" s="7"/>
      <c r="E25" s="8"/>
      <c r="F25" s="19" t="n">
        <f aca="false">Setup!$B$4*Setup!$B$5*INDEX(Setup!$E$17:$E$28,MONTH(A25))*(1-Setup!$B$11)^INT(20/12)</f>
        <v>887.072740428165</v>
      </c>
      <c r="G25" s="20" t="str">
        <f aca="false">IF(B25="","",B25/F25)</f>
        <v/>
      </c>
      <c r="H25" s="19" t="str">
        <f aca="false">IF(ROW()-12&lt;5,"",IF(INDEX(B:B,ROW()-12)="","",INDEX(B:B,ROW()-12)))</f>
        <v/>
      </c>
      <c r="I25" s="21" t="str">
        <f aca="false">IF(OR(B25="",H25=""),"",B25/H25-1)</f>
        <v/>
      </c>
      <c r="J25" s="19" t="str">
        <f aca="false">IF(B25="","",(B25-N(D25))*Setup!$B$9+N(D25)*Setup!$B$10)</f>
        <v/>
      </c>
      <c r="K25" s="22" t="str">
        <f aca="false">IF(B25="","",IF(G25&lt;0.9,"CHECK: "&amp;TEXT(1-G25,"0%")&amp;" below expected",IF(AND(I25&lt;&gt;"",I25&lt;-0.15),"CHECK: "&amp;TEXT(-I25,"0%")&amp;" below last year","OK")))</f>
        <v/>
      </c>
    </row>
    <row r="26" customFormat="false" ht="15" hidden="false" customHeight="false" outlineLevel="0" collapsed="false">
      <c r="A26" s="18" t="n">
        <f aca="false">EDATE(Setup!$B$8,21)</f>
        <v>46966</v>
      </c>
      <c r="B26" s="7"/>
      <c r="C26" s="7"/>
      <c r="D26" s="7"/>
      <c r="E26" s="8"/>
      <c r="F26" s="19" t="n">
        <f aca="false">Setup!$B$4*Setup!$B$5*INDEX(Setup!$E$17:$E$28,MONTH(A26))*(1-Setup!$B$11)^INT(21/12)</f>
        <v>943.985754350984</v>
      </c>
      <c r="G26" s="20" t="str">
        <f aca="false">IF(B26="","",B26/F26)</f>
        <v/>
      </c>
      <c r="H26" s="19" t="str">
        <f aca="false">IF(ROW()-12&lt;5,"",IF(INDEX(B:B,ROW()-12)="","",INDEX(B:B,ROW()-12)))</f>
        <v/>
      </c>
      <c r="I26" s="21" t="str">
        <f aca="false">IF(OR(B26="",H26=""),"",B26/H26-1)</f>
        <v/>
      </c>
      <c r="J26" s="19" t="str">
        <f aca="false">IF(B26="","",(B26-N(D26))*Setup!$B$9+N(D26)*Setup!$B$10)</f>
        <v/>
      </c>
      <c r="K26" s="22" t="str">
        <f aca="false">IF(B26="","",IF(G26&lt;0.9,"CHECK: "&amp;TEXT(1-G26,"0%")&amp;" below expected",IF(AND(I26&lt;&gt;"",I26&lt;-0.15),"CHECK: "&amp;TEXT(-I26,"0%")&amp;" below last year","OK")))</f>
        <v/>
      </c>
    </row>
    <row r="27" customFormat="false" ht="15" hidden="false" customHeight="false" outlineLevel="0" collapsed="false">
      <c r="A27" s="18" t="n">
        <f aca="false">EDATE(Setup!$B$8,22)</f>
        <v>46997</v>
      </c>
      <c r="B27" s="7"/>
      <c r="C27" s="7"/>
      <c r="D27" s="7"/>
      <c r="E27" s="8"/>
      <c r="F27" s="19" t="n">
        <f aca="false">Setup!$B$4*Setup!$B$5*INDEX(Setup!$E$17:$E$28,MONTH(A27))*(1-Setup!$B$11)^INT(22/12)</f>
        <v>1042.56198607718</v>
      </c>
      <c r="G27" s="20" t="str">
        <f aca="false">IF(B27="","",B27/F27)</f>
        <v/>
      </c>
      <c r="H27" s="19" t="str">
        <f aca="false">IF(ROW()-12&lt;5,"",IF(INDEX(B:B,ROW()-12)="","",INDEX(B:B,ROW()-12)))</f>
        <v/>
      </c>
      <c r="I27" s="21" t="str">
        <f aca="false">IF(OR(B27="",H27=""),"",B27/H27-1)</f>
        <v/>
      </c>
      <c r="J27" s="19" t="str">
        <f aca="false">IF(B27="","",(B27-N(D27))*Setup!$B$9+N(D27)*Setup!$B$10)</f>
        <v/>
      </c>
      <c r="K27" s="22" t="str">
        <f aca="false">IF(B27="","",IF(G27&lt;0.9,"CHECK: "&amp;TEXT(1-G27,"0%")&amp;" below expected",IF(AND(I27&lt;&gt;"",I27&lt;-0.15),"CHECK: "&amp;TEXT(-I27,"0%")&amp;" below last year","OK")))</f>
        <v/>
      </c>
    </row>
    <row r="28" customFormat="false" ht="15" hidden="false" customHeight="false" outlineLevel="0" collapsed="false">
      <c r="A28" s="18" t="n">
        <f aca="false">EDATE(Setup!$B$8,23)</f>
        <v>47027</v>
      </c>
      <c r="B28" s="7"/>
      <c r="C28" s="7"/>
      <c r="D28" s="7"/>
      <c r="E28" s="8"/>
      <c r="F28" s="19" t="n">
        <f aca="false">Setup!$B$4*Setup!$B$5*INDEX(Setup!$E$17:$E$28,MONTH(A28))*(1-Setup!$B$11)^INT(23/12)</f>
        <v>1156.38801392282</v>
      </c>
      <c r="G28" s="20" t="str">
        <f aca="false">IF(B28="","",B28/F28)</f>
        <v/>
      </c>
      <c r="H28" s="19" t="str">
        <f aca="false">IF(ROW()-12&lt;5,"",IF(INDEX(B:B,ROW()-12)="","",INDEX(B:B,ROW()-12)))</f>
        <v/>
      </c>
      <c r="I28" s="21" t="str">
        <f aca="false">IF(OR(B28="",H28=""),"",B28/H28-1)</f>
        <v/>
      </c>
      <c r="J28" s="19" t="str">
        <f aca="false">IF(B28="","",(B28-N(D28))*Setup!$B$9+N(D28)*Setup!$B$10)</f>
        <v/>
      </c>
      <c r="K28" s="22" t="str">
        <f aca="false">IF(B28="","",IF(G28&lt;0.9,"CHECK: "&amp;TEXT(1-G28,"0%")&amp;" below expected",IF(AND(I28&lt;&gt;"",I28&lt;-0.15),"CHECK: "&amp;TEXT(-I28,"0%")&amp;" below last year","OK")))</f>
        <v/>
      </c>
    </row>
    <row r="29" customFormat="false" ht="15" hidden="false" customHeight="false" outlineLevel="0" collapsed="false">
      <c r="A29" s="18" t="n">
        <f aca="false">EDATE(Setup!$B$8,24)</f>
        <v>47058</v>
      </c>
      <c r="B29" s="7"/>
      <c r="C29" s="7"/>
      <c r="D29" s="7"/>
      <c r="E29" s="8"/>
      <c r="F29" s="19" t="n">
        <f aca="false">Setup!$B$4*Setup!$B$5*INDEX(Setup!$E$17:$E$28,MONTH(A29))*(1-Setup!$B$11)^INT(24/12)</f>
        <v>1248.68942442077</v>
      </c>
      <c r="G29" s="20" t="str">
        <f aca="false">IF(B29="","",B29/F29)</f>
        <v/>
      </c>
      <c r="H29" s="19" t="str">
        <f aca="false">IF(ROW()-12&lt;5,"",IF(INDEX(B:B,ROW()-12)="","",INDEX(B:B,ROW()-12)))</f>
        <v/>
      </c>
      <c r="I29" s="21" t="str">
        <f aca="false">IF(OR(B29="",H29=""),"",B29/H29-1)</f>
        <v/>
      </c>
      <c r="J29" s="19" t="str">
        <f aca="false">IF(B29="","",(B29-N(D29))*Setup!$B$9+N(D29)*Setup!$B$10)</f>
        <v/>
      </c>
      <c r="K29" s="22" t="str">
        <f aca="false">IF(B29="","",IF(G29&lt;0.9,"CHECK: "&amp;TEXT(1-G29,"0%")&amp;" below expected",IF(AND(I29&lt;&gt;"",I29&lt;-0.15),"CHECK: "&amp;TEXT(-I29,"0%")&amp;" below last year","OK")))</f>
        <v/>
      </c>
    </row>
    <row r="30" customFormat="false" ht="15" hidden="false" customHeight="false" outlineLevel="0" collapsed="false">
      <c r="A30" s="18" t="n">
        <f aca="false">EDATE(Setup!$B$8,25)</f>
        <v>47088</v>
      </c>
      <c r="B30" s="7"/>
      <c r="C30" s="7"/>
      <c r="D30" s="7"/>
      <c r="E30" s="8"/>
      <c r="F30" s="19" t="n">
        <f aca="false">Setup!$B$4*Setup!$B$5*INDEX(Setup!$E$17:$E$28,MONTH(A30))*(1-Setup!$B$11)^INT(25/12)</f>
        <v>1305.31787327398</v>
      </c>
      <c r="G30" s="20" t="str">
        <f aca="false">IF(B30="","",B30/F30)</f>
        <v/>
      </c>
      <c r="H30" s="19" t="str">
        <f aca="false">IF(ROW()-12&lt;5,"",IF(INDEX(B:B,ROW()-12)="","",INDEX(B:B,ROW()-12)))</f>
        <v/>
      </c>
      <c r="I30" s="21" t="str">
        <f aca="false">IF(OR(B30="",H30=""),"",B30/H30-1)</f>
        <v/>
      </c>
      <c r="J30" s="19" t="str">
        <f aca="false">IF(B30="","",(B30-N(D30))*Setup!$B$9+N(D30)*Setup!$B$10)</f>
        <v/>
      </c>
      <c r="K30" s="22" t="str">
        <f aca="false">IF(B30="","",IF(G30&lt;0.9,"CHECK: "&amp;TEXT(1-G30,"0%")&amp;" below expected",IF(AND(I30&lt;&gt;"",I30&lt;-0.15),"CHECK: "&amp;TEXT(-I30,"0%")&amp;" below last year","OK")))</f>
        <v/>
      </c>
    </row>
    <row r="31" customFormat="false" ht="15" hidden="false" customHeight="false" outlineLevel="0" collapsed="false">
      <c r="A31" s="18" t="n">
        <f aca="false">EDATE(Setup!$B$8,26)</f>
        <v>47119</v>
      </c>
      <c r="B31" s="7"/>
      <c r="C31" s="7"/>
      <c r="D31" s="7"/>
      <c r="E31" s="8"/>
      <c r="F31" s="19" t="n">
        <f aca="false">Setup!$B$4*Setup!$B$5*INDEX(Setup!$E$17:$E$28,MONTH(A31))*(1-Setup!$B$11)^INT(26/12)</f>
        <v>1305.31787327398</v>
      </c>
      <c r="G31" s="20" t="str">
        <f aca="false">IF(B31="","",B31/F31)</f>
        <v/>
      </c>
      <c r="H31" s="19" t="str">
        <f aca="false">IF(ROW()-12&lt;5,"",IF(INDEX(B:B,ROW()-12)="","",INDEX(B:B,ROW()-12)))</f>
        <v/>
      </c>
      <c r="I31" s="21" t="str">
        <f aca="false">IF(OR(B31="",H31=""),"",B31/H31-1)</f>
        <v/>
      </c>
      <c r="J31" s="19" t="str">
        <f aca="false">IF(B31="","",(B31-N(D31))*Setup!$B$9+N(D31)*Setup!$B$10)</f>
        <v/>
      </c>
      <c r="K31" s="22" t="str">
        <f aca="false">IF(B31="","",IF(G31&lt;0.9,"CHECK: "&amp;TEXT(1-G31,"0%")&amp;" below expected",IF(AND(I31&lt;&gt;"",I31&lt;-0.15),"CHECK: "&amp;TEXT(-I31,"0%")&amp;" below last year","OK")))</f>
        <v/>
      </c>
    </row>
    <row r="32" customFormat="false" ht="15" hidden="false" customHeight="false" outlineLevel="0" collapsed="false">
      <c r="A32" s="18" t="n">
        <f aca="false">EDATE(Setup!$B$8,27)</f>
        <v>47150</v>
      </c>
      <c r="B32" s="7"/>
      <c r="C32" s="7"/>
      <c r="D32" s="7"/>
      <c r="E32" s="8"/>
      <c r="F32" s="19" t="n">
        <f aca="false">Setup!$B$4*Setup!$B$5*INDEX(Setup!$E$17:$E$28,MONTH(A32))*(1-Setup!$B$11)^INT(27/12)</f>
        <v>1248.68942442077</v>
      </c>
      <c r="G32" s="20" t="str">
        <f aca="false">IF(B32="","",B32/F32)</f>
        <v/>
      </c>
      <c r="H32" s="19" t="str">
        <f aca="false">IF(ROW()-12&lt;5,"",IF(INDEX(B:B,ROW()-12)="","",INDEX(B:B,ROW()-12)))</f>
        <v/>
      </c>
      <c r="I32" s="21" t="str">
        <f aca="false">IF(OR(B32="",H32=""),"",B32/H32-1)</f>
        <v/>
      </c>
      <c r="J32" s="19" t="str">
        <f aca="false">IF(B32="","",(B32-N(D32))*Setup!$B$9+N(D32)*Setup!$B$10)</f>
        <v/>
      </c>
      <c r="K32" s="22" t="str">
        <f aca="false">IF(B32="","",IF(G32&lt;0.9,"CHECK: "&amp;TEXT(1-G32,"0%")&amp;" below expected",IF(AND(I32&lt;&gt;"",I32&lt;-0.15),"CHECK: "&amp;TEXT(-I32,"0%")&amp;" below last year","OK")))</f>
        <v/>
      </c>
    </row>
    <row r="33" customFormat="false" ht="15" hidden="false" customHeight="false" outlineLevel="0" collapsed="false">
      <c r="A33" s="18" t="n">
        <f aca="false">EDATE(Setup!$B$8,28)</f>
        <v>47178</v>
      </c>
      <c r="B33" s="7"/>
      <c r="C33" s="7"/>
      <c r="D33" s="7"/>
      <c r="E33" s="8"/>
      <c r="F33" s="19" t="n">
        <f aca="false">Setup!$B$4*Setup!$B$5*INDEX(Setup!$E$17:$E$28,MONTH(A33))*(1-Setup!$B$11)^INT(28/12)</f>
        <v>1150.6060738532</v>
      </c>
      <c r="G33" s="20" t="str">
        <f aca="false">IF(B33="","",B33/F33)</f>
        <v/>
      </c>
      <c r="H33" s="19" t="str">
        <f aca="false">IF(ROW()-12&lt;5,"",IF(INDEX(B:B,ROW()-12)="","",INDEX(B:B,ROW()-12)))</f>
        <v/>
      </c>
      <c r="I33" s="21" t="str">
        <f aca="false">IF(OR(B33="",H33=""),"",B33/H33-1)</f>
        <v/>
      </c>
      <c r="J33" s="19" t="str">
        <f aca="false">IF(B33="","",(B33-N(D33))*Setup!$B$9+N(D33)*Setup!$B$10)</f>
        <v/>
      </c>
      <c r="K33" s="22" t="str">
        <f aca="false">IF(B33="","",IF(G33&lt;0.9,"CHECK: "&amp;TEXT(1-G33,"0%")&amp;" below expected",IF(AND(I33&lt;&gt;"",I33&lt;-0.15),"CHECK: "&amp;TEXT(-I33,"0%")&amp;" below last year","OK")))</f>
        <v/>
      </c>
    </row>
    <row r="34" customFormat="false" ht="15" hidden="false" customHeight="false" outlineLevel="0" collapsed="false">
      <c r="A34" s="18" t="n">
        <f aca="false">EDATE(Setup!$B$8,29)</f>
        <v>47209</v>
      </c>
      <c r="B34" s="7"/>
      <c r="C34" s="7"/>
      <c r="D34" s="7"/>
      <c r="E34" s="8"/>
      <c r="F34" s="19" t="n">
        <f aca="false">Setup!$B$4*Setup!$B$5*INDEX(Setup!$E$17:$E$28,MONTH(A34))*(1-Setup!$B$11)^INT(29/12)</f>
        <v>1037.3491761468</v>
      </c>
      <c r="G34" s="20" t="str">
        <f aca="false">IF(B34="","",B34/F34)</f>
        <v/>
      </c>
      <c r="H34" s="19" t="str">
        <f aca="false">IF(ROW()-12&lt;5,"",IF(INDEX(B:B,ROW()-12)="","",INDEX(B:B,ROW()-12)))</f>
        <v/>
      </c>
      <c r="I34" s="21" t="str">
        <f aca="false">IF(OR(B34="",H34=""),"",B34/H34-1)</f>
        <v/>
      </c>
      <c r="J34" s="19" t="str">
        <f aca="false">IF(B34="","",(B34-N(D34))*Setup!$B$9+N(D34)*Setup!$B$10)</f>
        <v/>
      </c>
      <c r="K34" s="22" t="str">
        <f aca="false">IF(B34="","",IF(G34&lt;0.9,"CHECK: "&amp;TEXT(1-G34,"0%")&amp;" below expected",IF(AND(I34&lt;&gt;"",I34&lt;-0.15),"CHECK: "&amp;TEXT(-I34,"0%")&amp;" below last year","OK")))</f>
        <v/>
      </c>
    </row>
    <row r="35" customFormat="false" ht="15" hidden="false" customHeight="false" outlineLevel="0" collapsed="false">
      <c r="A35" s="18" t="n">
        <f aca="false">EDATE(Setup!$B$8,30)</f>
        <v>47239</v>
      </c>
      <c r="B35" s="7"/>
      <c r="C35" s="7"/>
      <c r="D35" s="7"/>
      <c r="E35" s="8"/>
      <c r="F35" s="19" t="n">
        <f aca="false">Setup!$B$4*Setup!$B$5*INDEX(Setup!$E$17:$E$28,MONTH(A35))*(1-Setup!$B$11)^INT(30/12)</f>
        <v>939.265825579229</v>
      </c>
      <c r="G35" s="20" t="str">
        <f aca="false">IF(B35="","",B35/F35)</f>
        <v/>
      </c>
      <c r="H35" s="19" t="str">
        <f aca="false">IF(ROW()-12&lt;5,"",IF(INDEX(B:B,ROW()-12)="","",INDEX(B:B,ROW()-12)))</f>
        <v/>
      </c>
      <c r="I35" s="21" t="str">
        <f aca="false">IF(OR(B35="",H35=""),"",B35/H35-1)</f>
        <v/>
      </c>
      <c r="J35" s="19" t="str">
        <f aca="false">IF(B35="","",(B35-N(D35))*Setup!$B$9+N(D35)*Setup!$B$10)</f>
        <v/>
      </c>
      <c r="K35" s="22" t="str">
        <f aca="false">IF(B35="","",IF(G35&lt;0.9,"CHECK: "&amp;TEXT(1-G35,"0%")&amp;" below expected",IF(AND(I35&lt;&gt;"",I35&lt;-0.15),"CHECK: "&amp;TEXT(-I35,"0%")&amp;" below last year","OK")))</f>
        <v/>
      </c>
    </row>
    <row r="36" customFormat="false" ht="15" hidden="false" customHeight="false" outlineLevel="0" collapsed="false">
      <c r="A36" s="18" t="n">
        <f aca="false">EDATE(Setup!$B$8,31)</f>
        <v>47270</v>
      </c>
      <c r="B36" s="7"/>
      <c r="C36" s="7"/>
      <c r="D36" s="7"/>
      <c r="E36" s="8"/>
      <c r="F36" s="19" t="n">
        <f aca="false">Setup!$B$4*Setup!$B$5*INDEX(Setup!$E$17:$E$28,MONTH(A36))*(1-Setup!$B$11)^INT(31/12)</f>
        <v>882.637376726025</v>
      </c>
      <c r="G36" s="20" t="str">
        <f aca="false">IF(B36="","",B36/F36)</f>
        <v/>
      </c>
      <c r="H36" s="19" t="str">
        <f aca="false">IF(ROW()-12&lt;5,"",IF(INDEX(B:B,ROW()-12)="","",INDEX(B:B,ROW()-12)))</f>
        <v/>
      </c>
      <c r="I36" s="21" t="str">
        <f aca="false">IF(OR(B36="",H36=""),"",B36/H36-1)</f>
        <v/>
      </c>
      <c r="J36" s="19" t="str">
        <f aca="false">IF(B36="","",(B36-N(D36))*Setup!$B$9+N(D36)*Setup!$B$10)</f>
        <v/>
      </c>
      <c r="K36" s="22" t="str">
        <f aca="false">IF(B36="","",IF(G36&lt;0.9,"CHECK: "&amp;TEXT(1-G36,"0%")&amp;" below expected",IF(AND(I36&lt;&gt;"",I36&lt;-0.15),"CHECK: "&amp;TEXT(-I36,"0%")&amp;" below last year","OK")))</f>
        <v/>
      </c>
    </row>
    <row r="37" customFormat="false" ht="15" hidden="false" customHeight="false" outlineLevel="0" collapsed="false">
      <c r="A37" s="18" t="n">
        <f aca="false">EDATE(Setup!$B$8,32)</f>
        <v>47300</v>
      </c>
      <c r="B37" s="7"/>
      <c r="C37" s="7"/>
      <c r="D37" s="7"/>
      <c r="E37" s="8"/>
      <c r="F37" s="19" t="n">
        <f aca="false">Setup!$B$4*Setup!$B$5*INDEX(Setup!$E$17:$E$28,MONTH(A37))*(1-Setup!$B$11)^INT(32/12)</f>
        <v>882.637376726024</v>
      </c>
      <c r="G37" s="20" t="str">
        <f aca="false">IF(B37="","",B37/F37)</f>
        <v/>
      </c>
      <c r="H37" s="19" t="str">
        <f aca="false">IF(ROW()-12&lt;5,"",IF(INDEX(B:B,ROW()-12)="","",INDEX(B:B,ROW()-12)))</f>
        <v/>
      </c>
      <c r="I37" s="21" t="str">
        <f aca="false">IF(OR(B37="",H37=""),"",B37/H37-1)</f>
        <v/>
      </c>
      <c r="J37" s="19" t="str">
        <f aca="false">IF(B37="","",(B37-N(D37))*Setup!$B$9+N(D37)*Setup!$B$10)</f>
        <v/>
      </c>
      <c r="K37" s="22" t="str">
        <f aca="false">IF(B37="","",IF(G37&lt;0.9,"CHECK: "&amp;TEXT(1-G37,"0%")&amp;" below expected",IF(AND(I37&lt;&gt;"",I37&lt;-0.15),"CHECK: "&amp;TEXT(-I37,"0%")&amp;" below last year","OK")))</f>
        <v/>
      </c>
    </row>
    <row r="38" customFormat="false" ht="15" hidden="false" customHeight="false" outlineLevel="0" collapsed="false">
      <c r="A38" s="18" t="n">
        <f aca="false">EDATE(Setup!$B$8,33)</f>
        <v>47331</v>
      </c>
      <c r="B38" s="7"/>
      <c r="C38" s="7"/>
      <c r="D38" s="7"/>
      <c r="E38" s="8"/>
      <c r="F38" s="19" t="n">
        <f aca="false">Setup!$B$4*Setup!$B$5*INDEX(Setup!$E$17:$E$28,MONTH(A38))*(1-Setup!$B$11)^INT(33/12)</f>
        <v>939.265825579229</v>
      </c>
      <c r="G38" s="20" t="str">
        <f aca="false">IF(B38="","",B38/F38)</f>
        <v/>
      </c>
      <c r="H38" s="19" t="str">
        <f aca="false">IF(ROW()-12&lt;5,"",IF(INDEX(B:B,ROW()-12)="","",INDEX(B:B,ROW()-12)))</f>
        <v/>
      </c>
      <c r="I38" s="21" t="str">
        <f aca="false">IF(OR(B38="",H38=""),"",B38/H38-1)</f>
        <v/>
      </c>
      <c r="J38" s="19" t="str">
        <f aca="false">IF(B38="","",(B38-N(D38))*Setup!$B$9+N(D38)*Setup!$B$10)</f>
        <v/>
      </c>
      <c r="K38" s="22" t="str">
        <f aca="false">IF(B38="","",IF(G38&lt;0.9,"CHECK: "&amp;TEXT(1-G38,"0%")&amp;" below expected",IF(AND(I38&lt;&gt;"",I38&lt;-0.15),"CHECK: "&amp;TEXT(-I38,"0%")&amp;" below last year","OK")))</f>
        <v/>
      </c>
    </row>
    <row r="39" customFormat="false" ht="15" hidden="false" customHeight="false" outlineLevel="0" collapsed="false">
      <c r="A39" s="18" t="n">
        <f aca="false">EDATE(Setup!$B$8,34)</f>
        <v>47362</v>
      </c>
      <c r="B39" s="7"/>
      <c r="C39" s="7"/>
      <c r="D39" s="7"/>
      <c r="E39" s="8"/>
      <c r="F39" s="19" t="n">
        <f aca="false">Setup!$B$4*Setup!$B$5*INDEX(Setup!$E$17:$E$28,MONTH(A39))*(1-Setup!$B$11)^INT(34/12)</f>
        <v>1037.3491761468</v>
      </c>
      <c r="G39" s="20" t="str">
        <f aca="false">IF(B39="","",B39/F39)</f>
        <v/>
      </c>
      <c r="H39" s="19" t="str">
        <f aca="false">IF(ROW()-12&lt;5,"",IF(INDEX(B:B,ROW()-12)="","",INDEX(B:B,ROW()-12)))</f>
        <v/>
      </c>
      <c r="I39" s="21" t="str">
        <f aca="false">IF(OR(B39="",H39=""),"",B39/H39-1)</f>
        <v/>
      </c>
      <c r="J39" s="19" t="str">
        <f aca="false">IF(B39="","",(B39-N(D39))*Setup!$B$9+N(D39)*Setup!$B$10)</f>
        <v/>
      </c>
      <c r="K39" s="22" t="str">
        <f aca="false">IF(B39="","",IF(G39&lt;0.9,"CHECK: "&amp;TEXT(1-G39,"0%")&amp;" below expected",IF(AND(I39&lt;&gt;"",I39&lt;-0.15),"CHECK: "&amp;TEXT(-I39,"0%")&amp;" below last year","OK")))</f>
        <v/>
      </c>
    </row>
    <row r="40" customFormat="false" ht="15" hidden="false" customHeight="false" outlineLevel="0" collapsed="false">
      <c r="A40" s="18" t="n">
        <f aca="false">EDATE(Setup!$B$8,35)</f>
        <v>47392</v>
      </c>
      <c r="B40" s="7"/>
      <c r="C40" s="7"/>
      <c r="D40" s="7"/>
      <c r="E40" s="8"/>
      <c r="F40" s="19" t="n">
        <f aca="false">Setup!$B$4*Setup!$B$5*INDEX(Setup!$E$17:$E$28,MONTH(A40))*(1-Setup!$B$11)^INT(35/12)</f>
        <v>1150.6060738532</v>
      </c>
      <c r="G40" s="20" t="str">
        <f aca="false">IF(B40="","",B40/F40)</f>
        <v/>
      </c>
      <c r="H40" s="19" t="str">
        <f aca="false">IF(ROW()-12&lt;5,"",IF(INDEX(B:B,ROW()-12)="","",INDEX(B:B,ROW()-12)))</f>
        <v/>
      </c>
      <c r="I40" s="21" t="str">
        <f aca="false">IF(OR(B40="",H40=""),"",B40/H40-1)</f>
        <v/>
      </c>
      <c r="J40" s="19" t="str">
        <f aca="false">IF(B40="","",(B40-N(D40))*Setup!$B$9+N(D40)*Setup!$B$10)</f>
        <v/>
      </c>
      <c r="K40" s="22" t="str">
        <f aca="false">IF(B40="","",IF(G40&lt;0.9,"CHECK: "&amp;TEXT(1-G40,"0%")&amp;" below expected",IF(AND(I40&lt;&gt;"",I40&lt;-0.15),"CHECK: "&amp;TEXT(-I40,"0%")&amp;" below last year","OK")))</f>
        <v/>
      </c>
    </row>
    <row r="41" customFormat="false" ht="15" hidden="false" customHeight="false" outlineLevel="0" collapsed="false">
      <c r="A41" s="18" t="n">
        <f aca="false">EDATE(Setup!$B$8,36)</f>
        <v>47423</v>
      </c>
      <c r="B41" s="7"/>
      <c r="C41" s="7"/>
      <c r="D41" s="7"/>
      <c r="E41" s="8"/>
      <c r="F41" s="19" t="n">
        <f aca="false">Setup!$B$4*Setup!$B$5*INDEX(Setup!$E$17:$E$28,MONTH(A41))*(1-Setup!$B$11)^INT(36/12)</f>
        <v>1242.44597729867</v>
      </c>
      <c r="G41" s="20" t="str">
        <f aca="false">IF(B41="","",B41/F41)</f>
        <v/>
      </c>
      <c r="H41" s="19" t="str">
        <f aca="false">IF(ROW()-12&lt;5,"",IF(INDEX(B:B,ROW()-12)="","",INDEX(B:B,ROW()-12)))</f>
        <v/>
      </c>
      <c r="I41" s="21" t="str">
        <f aca="false">IF(OR(B41="",H41=""),"",B41/H41-1)</f>
        <v/>
      </c>
      <c r="J41" s="19" t="str">
        <f aca="false">IF(B41="","",(B41-N(D41))*Setup!$B$9+N(D41)*Setup!$B$10)</f>
        <v/>
      </c>
      <c r="K41" s="22" t="str">
        <f aca="false">IF(B41="","",IF(G41&lt;0.9,"CHECK: "&amp;TEXT(1-G41,"0%")&amp;" below expected",IF(AND(I41&lt;&gt;"",I41&lt;-0.15),"CHECK: "&amp;TEXT(-I41,"0%")&amp;" below last year","OK")))</f>
        <v/>
      </c>
    </row>
    <row r="42" customFormat="false" ht="15" hidden="false" customHeight="false" outlineLevel="0" collapsed="false">
      <c r="A42" s="18" t="n">
        <f aca="false">EDATE(Setup!$B$8,37)</f>
        <v>47453</v>
      </c>
      <c r="B42" s="7"/>
      <c r="C42" s="7"/>
      <c r="D42" s="7"/>
      <c r="E42" s="8"/>
      <c r="F42" s="19" t="n">
        <f aca="false">Setup!$B$4*Setup!$B$5*INDEX(Setup!$E$17:$E$28,MONTH(A42))*(1-Setup!$B$11)^INT(37/12)</f>
        <v>1298.79128390761</v>
      </c>
      <c r="G42" s="20" t="str">
        <f aca="false">IF(B42="","",B42/F42)</f>
        <v/>
      </c>
      <c r="H42" s="19" t="str">
        <f aca="false">IF(ROW()-12&lt;5,"",IF(INDEX(B:B,ROW()-12)="","",INDEX(B:B,ROW()-12)))</f>
        <v/>
      </c>
      <c r="I42" s="21" t="str">
        <f aca="false">IF(OR(B42="",H42=""),"",B42/H42-1)</f>
        <v/>
      </c>
      <c r="J42" s="19" t="str">
        <f aca="false">IF(B42="","",(B42-N(D42))*Setup!$B$9+N(D42)*Setup!$B$10)</f>
        <v/>
      </c>
      <c r="K42" s="22" t="str">
        <f aca="false">IF(B42="","",IF(G42&lt;0.9,"CHECK: "&amp;TEXT(1-G42,"0%")&amp;" below expected",IF(AND(I42&lt;&gt;"",I42&lt;-0.15),"CHECK: "&amp;TEXT(-I42,"0%")&amp;" below last year","OK")))</f>
        <v/>
      </c>
    </row>
    <row r="43" customFormat="false" ht="15" hidden="false" customHeight="false" outlineLevel="0" collapsed="false">
      <c r="A43" s="18" t="n">
        <f aca="false">EDATE(Setup!$B$8,38)</f>
        <v>47484</v>
      </c>
      <c r="B43" s="7"/>
      <c r="C43" s="7"/>
      <c r="D43" s="7"/>
      <c r="E43" s="8"/>
      <c r="F43" s="19" t="n">
        <f aca="false">Setup!$B$4*Setup!$B$5*INDEX(Setup!$E$17:$E$28,MONTH(A43))*(1-Setup!$B$11)^INT(38/12)</f>
        <v>1298.79128390761</v>
      </c>
      <c r="G43" s="20" t="str">
        <f aca="false">IF(B43="","",B43/F43)</f>
        <v/>
      </c>
      <c r="H43" s="19" t="str">
        <f aca="false">IF(ROW()-12&lt;5,"",IF(INDEX(B:B,ROW()-12)="","",INDEX(B:B,ROW()-12)))</f>
        <v/>
      </c>
      <c r="I43" s="21" t="str">
        <f aca="false">IF(OR(B43="",H43=""),"",B43/H43-1)</f>
        <v/>
      </c>
      <c r="J43" s="19" t="str">
        <f aca="false">IF(B43="","",(B43-N(D43))*Setup!$B$9+N(D43)*Setup!$B$10)</f>
        <v/>
      </c>
      <c r="K43" s="22" t="str">
        <f aca="false">IF(B43="","",IF(G43&lt;0.9,"CHECK: "&amp;TEXT(1-G43,"0%")&amp;" below expected",IF(AND(I43&lt;&gt;"",I43&lt;-0.15),"CHECK: "&amp;TEXT(-I43,"0%")&amp;" below last year","OK")))</f>
        <v/>
      </c>
    </row>
    <row r="44" customFormat="false" ht="15" hidden="false" customHeight="false" outlineLevel="0" collapsed="false">
      <c r="A44" s="18" t="n">
        <f aca="false">EDATE(Setup!$B$8,39)</f>
        <v>47515</v>
      </c>
      <c r="B44" s="7"/>
      <c r="C44" s="7"/>
      <c r="D44" s="7"/>
      <c r="E44" s="8"/>
      <c r="F44" s="19" t="n">
        <f aca="false">Setup!$B$4*Setup!$B$5*INDEX(Setup!$E$17:$E$28,MONTH(A44))*(1-Setup!$B$11)^INT(39/12)</f>
        <v>1242.44597729867</v>
      </c>
      <c r="G44" s="20" t="str">
        <f aca="false">IF(B44="","",B44/F44)</f>
        <v/>
      </c>
      <c r="H44" s="19" t="str">
        <f aca="false">IF(ROW()-12&lt;5,"",IF(INDEX(B:B,ROW()-12)="","",INDEX(B:B,ROW()-12)))</f>
        <v/>
      </c>
      <c r="I44" s="21" t="str">
        <f aca="false">IF(OR(B44="",H44=""),"",B44/H44-1)</f>
        <v/>
      </c>
      <c r="J44" s="19" t="str">
        <f aca="false">IF(B44="","",(B44-N(D44))*Setup!$B$9+N(D44)*Setup!$B$10)</f>
        <v/>
      </c>
      <c r="K44" s="22" t="str">
        <f aca="false">IF(B44="","",IF(G44&lt;0.9,"CHECK: "&amp;TEXT(1-G44,"0%")&amp;" below expected",IF(AND(I44&lt;&gt;"",I44&lt;-0.15),"CHECK: "&amp;TEXT(-I44,"0%")&amp;" below last year","OK")))</f>
        <v/>
      </c>
    </row>
    <row r="45" customFormat="false" ht="15" hidden="false" customHeight="false" outlineLevel="0" collapsed="false">
      <c r="A45" s="18" t="n">
        <f aca="false">EDATE(Setup!$B$8,40)</f>
        <v>47543</v>
      </c>
      <c r="B45" s="7"/>
      <c r="C45" s="7"/>
      <c r="D45" s="7"/>
      <c r="E45" s="8"/>
      <c r="F45" s="19" t="n">
        <f aca="false">Setup!$B$4*Setup!$B$5*INDEX(Setup!$E$17:$E$28,MONTH(A45))*(1-Setup!$B$11)^INT(40/12)</f>
        <v>1144.85304348394</v>
      </c>
      <c r="G45" s="20" t="str">
        <f aca="false">IF(B45="","",B45/F45)</f>
        <v/>
      </c>
      <c r="H45" s="19" t="str">
        <f aca="false">IF(ROW()-12&lt;5,"",IF(INDEX(B:B,ROW()-12)="","",INDEX(B:B,ROW()-12)))</f>
        <v/>
      </c>
      <c r="I45" s="21" t="str">
        <f aca="false">IF(OR(B45="",H45=""),"",B45/H45-1)</f>
        <v/>
      </c>
      <c r="J45" s="19" t="str">
        <f aca="false">IF(B45="","",(B45-N(D45))*Setup!$B$9+N(D45)*Setup!$B$10)</f>
        <v/>
      </c>
      <c r="K45" s="22" t="str">
        <f aca="false">IF(B45="","",IF(G45&lt;0.9,"CHECK: "&amp;TEXT(1-G45,"0%")&amp;" below expected",IF(AND(I45&lt;&gt;"",I45&lt;-0.15),"CHECK: "&amp;TEXT(-I45,"0%")&amp;" below last year","OK")))</f>
        <v/>
      </c>
    </row>
    <row r="46" customFormat="false" ht="15" hidden="false" customHeight="false" outlineLevel="0" collapsed="false">
      <c r="A46" s="18" t="n">
        <f aca="false">EDATE(Setup!$B$8,41)</f>
        <v>47574</v>
      </c>
      <c r="B46" s="7"/>
      <c r="C46" s="7"/>
      <c r="D46" s="7"/>
      <c r="E46" s="8"/>
      <c r="F46" s="19" t="n">
        <f aca="false">Setup!$B$4*Setup!$B$5*INDEX(Setup!$E$17:$E$28,MONTH(A46))*(1-Setup!$B$11)^INT(41/12)</f>
        <v>1032.16243026606</v>
      </c>
      <c r="G46" s="20" t="str">
        <f aca="false">IF(B46="","",B46/F46)</f>
        <v/>
      </c>
      <c r="H46" s="19" t="str">
        <f aca="false">IF(ROW()-12&lt;5,"",IF(INDEX(B:B,ROW()-12)="","",INDEX(B:B,ROW()-12)))</f>
        <v/>
      </c>
      <c r="I46" s="21" t="str">
        <f aca="false">IF(OR(B46="",H46=""),"",B46/H46-1)</f>
        <v/>
      </c>
      <c r="J46" s="19" t="str">
        <f aca="false">IF(B46="","",(B46-N(D46))*Setup!$B$9+N(D46)*Setup!$B$10)</f>
        <v/>
      </c>
      <c r="K46" s="22" t="str">
        <f aca="false">IF(B46="","",IF(G46&lt;0.9,"CHECK: "&amp;TEXT(1-G46,"0%")&amp;" below expected",IF(AND(I46&lt;&gt;"",I46&lt;-0.15),"CHECK: "&amp;TEXT(-I46,"0%")&amp;" below last year","OK")))</f>
        <v/>
      </c>
    </row>
    <row r="47" customFormat="false" ht="15" hidden="false" customHeight="false" outlineLevel="0" collapsed="false">
      <c r="A47" s="18" t="n">
        <f aca="false">EDATE(Setup!$B$8,42)</f>
        <v>47604</v>
      </c>
      <c r="B47" s="7"/>
      <c r="C47" s="7"/>
      <c r="D47" s="7"/>
      <c r="E47" s="8"/>
      <c r="F47" s="19" t="n">
        <f aca="false">Setup!$B$4*Setup!$B$5*INDEX(Setup!$E$17:$E$28,MONTH(A47))*(1-Setup!$B$11)^INT(42/12)</f>
        <v>934.569496451333</v>
      </c>
      <c r="G47" s="20" t="str">
        <f aca="false">IF(B47="","",B47/F47)</f>
        <v/>
      </c>
      <c r="H47" s="19" t="str">
        <f aca="false">IF(ROW()-12&lt;5,"",IF(INDEX(B:B,ROW()-12)="","",INDEX(B:B,ROW()-12)))</f>
        <v/>
      </c>
      <c r="I47" s="21" t="str">
        <f aca="false">IF(OR(B47="",H47=""),"",B47/H47-1)</f>
        <v/>
      </c>
      <c r="J47" s="19" t="str">
        <f aca="false">IF(B47="","",(B47-N(D47))*Setup!$B$9+N(D47)*Setup!$B$10)</f>
        <v/>
      </c>
      <c r="K47" s="22" t="str">
        <f aca="false">IF(B47="","",IF(G47&lt;0.9,"CHECK: "&amp;TEXT(1-G47,"0%")&amp;" below expected",IF(AND(I47&lt;&gt;"",I47&lt;-0.15),"CHECK: "&amp;TEXT(-I47,"0%")&amp;" below last year","OK")))</f>
        <v/>
      </c>
    </row>
    <row r="48" customFormat="false" ht="15" hidden="false" customHeight="false" outlineLevel="0" collapsed="false">
      <c r="A48" s="18" t="n">
        <f aca="false">EDATE(Setup!$B$8,43)</f>
        <v>47635</v>
      </c>
      <c r="B48" s="7"/>
      <c r="C48" s="7"/>
      <c r="D48" s="7"/>
      <c r="E48" s="8"/>
      <c r="F48" s="19" t="n">
        <f aca="false">Setup!$B$4*Setup!$B$5*INDEX(Setup!$E$17:$E$28,MONTH(A48))*(1-Setup!$B$11)^INT(43/12)</f>
        <v>878.224189842394</v>
      </c>
      <c r="G48" s="20" t="str">
        <f aca="false">IF(B48="","",B48/F48)</f>
        <v/>
      </c>
      <c r="H48" s="19" t="str">
        <f aca="false">IF(ROW()-12&lt;5,"",IF(INDEX(B:B,ROW()-12)="","",INDEX(B:B,ROW()-12)))</f>
        <v/>
      </c>
      <c r="I48" s="21" t="str">
        <f aca="false">IF(OR(B48="",H48=""),"",B48/H48-1)</f>
        <v/>
      </c>
      <c r="J48" s="19" t="str">
        <f aca="false">IF(B48="","",(B48-N(D48))*Setup!$B$9+N(D48)*Setup!$B$10)</f>
        <v/>
      </c>
      <c r="K48" s="22" t="str">
        <f aca="false">IF(B48="","",IF(G48&lt;0.9,"CHECK: "&amp;TEXT(1-G48,"0%")&amp;" below expected",IF(AND(I48&lt;&gt;"",I48&lt;-0.15),"CHECK: "&amp;TEXT(-I48,"0%")&amp;" below last year","OK")))</f>
        <v/>
      </c>
    </row>
    <row r="49" customFormat="false" ht="15" hidden="false" customHeight="false" outlineLevel="0" collapsed="false">
      <c r="A49" s="18" t="n">
        <f aca="false">EDATE(Setup!$B$8,44)</f>
        <v>47665</v>
      </c>
      <c r="B49" s="7"/>
      <c r="C49" s="7"/>
      <c r="D49" s="7"/>
      <c r="E49" s="8"/>
      <c r="F49" s="19" t="n">
        <f aca="false">Setup!$B$4*Setup!$B$5*INDEX(Setup!$E$17:$E$28,MONTH(A49))*(1-Setup!$B$11)^INT(44/12)</f>
        <v>878.224189842394</v>
      </c>
      <c r="G49" s="20" t="str">
        <f aca="false">IF(B49="","",B49/F49)</f>
        <v/>
      </c>
      <c r="H49" s="19" t="str">
        <f aca="false">IF(ROW()-12&lt;5,"",IF(INDEX(B:B,ROW()-12)="","",INDEX(B:B,ROW()-12)))</f>
        <v/>
      </c>
      <c r="I49" s="21" t="str">
        <f aca="false">IF(OR(B49="",H49=""),"",B49/H49-1)</f>
        <v/>
      </c>
      <c r="J49" s="19" t="str">
        <f aca="false">IF(B49="","",(B49-N(D49))*Setup!$B$9+N(D49)*Setup!$B$10)</f>
        <v/>
      </c>
      <c r="K49" s="22" t="str">
        <f aca="false">IF(B49="","",IF(G49&lt;0.9,"CHECK: "&amp;TEXT(1-G49,"0%")&amp;" below expected",IF(AND(I49&lt;&gt;"",I49&lt;-0.15),"CHECK: "&amp;TEXT(-I49,"0%")&amp;" below last year","OK")))</f>
        <v/>
      </c>
    </row>
    <row r="50" customFormat="false" ht="15" hidden="false" customHeight="false" outlineLevel="0" collapsed="false">
      <c r="A50" s="18" t="n">
        <f aca="false">EDATE(Setup!$B$8,45)</f>
        <v>47696</v>
      </c>
      <c r="B50" s="7"/>
      <c r="C50" s="7"/>
      <c r="D50" s="7"/>
      <c r="E50" s="8"/>
      <c r="F50" s="19" t="n">
        <f aca="false">Setup!$B$4*Setup!$B$5*INDEX(Setup!$E$17:$E$28,MONTH(A50))*(1-Setup!$B$11)^INT(45/12)</f>
        <v>934.569496451333</v>
      </c>
      <c r="G50" s="20" t="str">
        <f aca="false">IF(B50="","",B50/F50)</f>
        <v/>
      </c>
      <c r="H50" s="19" t="str">
        <f aca="false">IF(ROW()-12&lt;5,"",IF(INDEX(B:B,ROW()-12)="","",INDEX(B:B,ROW()-12)))</f>
        <v/>
      </c>
      <c r="I50" s="21" t="str">
        <f aca="false">IF(OR(B50="",H50=""),"",B50/H50-1)</f>
        <v/>
      </c>
      <c r="J50" s="19" t="str">
        <f aca="false">IF(B50="","",(B50-N(D50))*Setup!$B$9+N(D50)*Setup!$B$10)</f>
        <v/>
      </c>
      <c r="K50" s="22" t="str">
        <f aca="false">IF(B50="","",IF(G50&lt;0.9,"CHECK: "&amp;TEXT(1-G50,"0%")&amp;" below expected",IF(AND(I50&lt;&gt;"",I50&lt;-0.15),"CHECK: "&amp;TEXT(-I50,"0%")&amp;" below last year","OK")))</f>
        <v/>
      </c>
    </row>
    <row r="51" customFormat="false" ht="15" hidden="false" customHeight="false" outlineLevel="0" collapsed="false">
      <c r="A51" s="18" t="n">
        <f aca="false">EDATE(Setup!$B$8,46)</f>
        <v>47727</v>
      </c>
      <c r="B51" s="7"/>
      <c r="C51" s="7"/>
      <c r="D51" s="7"/>
      <c r="E51" s="8"/>
      <c r="F51" s="19" t="n">
        <f aca="false">Setup!$B$4*Setup!$B$5*INDEX(Setup!$E$17:$E$28,MONTH(A51))*(1-Setup!$B$11)^INT(46/12)</f>
        <v>1032.16243026606</v>
      </c>
      <c r="G51" s="20" t="str">
        <f aca="false">IF(B51="","",B51/F51)</f>
        <v/>
      </c>
      <c r="H51" s="19" t="str">
        <f aca="false">IF(ROW()-12&lt;5,"",IF(INDEX(B:B,ROW()-12)="","",INDEX(B:B,ROW()-12)))</f>
        <v/>
      </c>
      <c r="I51" s="21" t="str">
        <f aca="false">IF(OR(B51="",H51=""),"",B51/H51-1)</f>
        <v/>
      </c>
      <c r="J51" s="19" t="str">
        <f aca="false">IF(B51="","",(B51-N(D51))*Setup!$B$9+N(D51)*Setup!$B$10)</f>
        <v/>
      </c>
      <c r="K51" s="22" t="str">
        <f aca="false">IF(B51="","",IF(G51&lt;0.9,"CHECK: "&amp;TEXT(1-G51,"0%")&amp;" below expected",IF(AND(I51&lt;&gt;"",I51&lt;-0.15),"CHECK: "&amp;TEXT(-I51,"0%")&amp;" below last year","OK")))</f>
        <v/>
      </c>
    </row>
    <row r="52" customFormat="false" ht="15" hidden="false" customHeight="false" outlineLevel="0" collapsed="false">
      <c r="A52" s="18" t="n">
        <f aca="false">EDATE(Setup!$B$8,47)</f>
        <v>47757</v>
      </c>
      <c r="B52" s="7"/>
      <c r="C52" s="7"/>
      <c r="D52" s="7"/>
      <c r="E52" s="8"/>
      <c r="F52" s="19" t="n">
        <f aca="false">Setup!$B$4*Setup!$B$5*INDEX(Setup!$E$17:$E$28,MONTH(A52))*(1-Setup!$B$11)^INT(47/12)</f>
        <v>1144.85304348394</v>
      </c>
      <c r="G52" s="20" t="str">
        <f aca="false">IF(B52="","",B52/F52)</f>
        <v/>
      </c>
      <c r="H52" s="19" t="str">
        <f aca="false">IF(ROW()-12&lt;5,"",IF(INDEX(B:B,ROW()-12)="","",INDEX(B:B,ROW()-12)))</f>
        <v/>
      </c>
      <c r="I52" s="21" t="str">
        <f aca="false">IF(OR(B52="",H52=""),"",B52/H52-1)</f>
        <v/>
      </c>
      <c r="J52" s="19" t="str">
        <f aca="false">IF(B52="","",(B52-N(D52))*Setup!$B$9+N(D52)*Setup!$B$10)</f>
        <v/>
      </c>
      <c r="K52" s="22" t="str">
        <f aca="false">IF(B52="","",IF(G52&lt;0.9,"CHECK: "&amp;TEXT(1-G52,"0%")&amp;" below expected",IF(AND(I52&lt;&gt;"",I52&lt;-0.15),"CHECK: "&amp;TEXT(-I52,"0%")&amp;" below last year","OK")))</f>
        <v/>
      </c>
    </row>
    <row r="53" customFormat="false" ht="15" hidden="false" customHeight="false" outlineLevel="0" collapsed="false">
      <c r="A53" s="18" t="n">
        <f aca="false">EDATE(Setup!$B$8,48)</f>
        <v>47788</v>
      </c>
      <c r="B53" s="7"/>
      <c r="C53" s="7"/>
      <c r="D53" s="7"/>
      <c r="E53" s="8"/>
      <c r="F53" s="19" t="n">
        <f aca="false">Setup!$B$4*Setup!$B$5*INDEX(Setup!$E$17:$E$28,MONTH(A53))*(1-Setup!$B$11)^INT(48/12)</f>
        <v>1236.23374741217</v>
      </c>
      <c r="G53" s="20" t="str">
        <f aca="false">IF(B53="","",B53/F53)</f>
        <v/>
      </c>
      <c r="H53" s="19" t="str">
        <f aca="false">IF(ROW()-12&lt;5,"",IF(INDEX(B:B,ROW()-12)="","",INDEX(B:B,ROW()-12)))</f>
        <v/>
      </c>
      <c r="I53" s="21" t="str">
        <f aca="false">IF(OR(B53="",H53=""),"",B53/H53-1)</f>
        <v/>
      </c>
      <c r="J53" s="19" t="str">
        <f aca="false">IF(B53="","",(B53-N(D53))*Setup!$B$9+N(D53)*Setup!$B$10)</f>
        <v/>
      </c>
      <c r="K53" s="22" t="str">
        <f aca="false">IF(B53="","",IF(G53&lt;0.9,"CHECK: "&amp;TEXT(1-G53,"0%")&amp;" below expected",IF(AND(I53&lt;&gt;"",I53&lt;-0.15),"CHECK: "&amp;TEXT(-I53,"0%")&amp;" below last year","OK")))</f>
        <v/>
      </c>
    </row>
    <row r="54" customFormat="false" ht="15" hidden="false" customHeight="false" outlineLevel="0" collapsed="false">
      <c r="A54" s="18" t="n">
        <f aca="false">EDATE(Setup!$B$8,49)</f>
        <v>47818</v>
      </c>
      <c r="B54" s="7"/>
      <c r="C54" s="7"/>
      <c r="D54" s="7"/>
      <c r="E54" s="8"/>
      <c r="F54" s="19" t="n">
        <f aca="false">Setup!$B$4*Setup!$B$5*INDEX(Setup!$E$17:$E$28,MONTH(A54))*(1-Setup!$B$11)^INT(49/12)</f>
        <v>1292.29732748807</v>
      </c>
      <c r="G54" s="20" t="str">
        <f aca="false">IF(B54="","",B54/F54)</f>
        <v/>
      </c>
      <c r="H54" s="19" t="str">
        <f aca="false">IF(ROW()-12&lt;5,"",IF(INDEX(B:B,ROW()-12)="","",INDEX(B:B,ROW()-12)))</f>
        <v/>
      </c>
      <c r="I54" s="21" t="str">
        <f aca="false">IF(OR(B54="",H54=""),"",B54/H54-1)</f>
        <v/>
      </c>
      <c r="J54" s="19" t="str">
        <f aca="false">IF(B54="","",(B54-N(D54))*Setup!$B$9+N(D54)*Setup!$B$10)</f>
        <v/>
      </c>
      <c r="K54" s="22" t="str">
        <f aca="false">IF(B54="","",IF(G54&lt;0.9,"CHECK: "&amp;TEXT(1-G54,"0%")&amp;" below expected",IF(AND(I54&lt;&gt;"",I54&lt;-0.15),"CHECK: "&amp;TEXT(-I54,"0%")&amp;" below last year","OK")))</f>
        <v/>
      </c>
    </row>
    <row r="55" customFormat="false" ht="15" hidden="false" customHeight="false" outlineLevel="0" collapsed="false">
      <c r="A55" s="18" t="n">
        <f aca="false">EDATE(Setup!$B$8,50)</f>
        <v>47849</v>
      </c>
      <c r="B55" s="7"/>
      <c r="C55" s="7"/>
      <c r="D55" s="7"/>
      <c r="E55" s="8"/>
      <c r="F55" s="19" t="n">
        <f aca="false">Setup!$B$4*Setup!$B$5*INDEX(Setup!$E$17:$E$28,MONTH(A55))*(1-Setup!$B$11)^INT(50/12)</f>
        <v>1292.29732748807</v>
      </c>
      <c r="G55" s="20" t="str">
        <f aca="false">IF(B55="","",B55/F55)</f>
        <v/>
      </c>
      <c r="H55" s="19" t="str">
        <f aca="false">IF(ROW()-12&lt;5,"",IF(INDEX(B:B,ROW()-12)="","",INDEX(B:B,ROW()-12)))</f>
        <v/>
      </c>
      <c r="I55" s="21" t="str">
        <f aca="false">IF(OR(B55="",H55=""),"",B55/H55-1)</f>
        <v/>
      </c>
      <c r="J55" s="19" t="str">
        <f aca="false">IF(B55="","",(B55-N(D55))*Setup!$B$9+N(D55)*Setup!$B$10)</f>
        <v/>
      </c>
      <c r="K55" s="22" t="str">
        <f aca="false">IF(B55="","",IF(G55&lt;0.9,"CHECK: "&amp;TEXT(1-G55,"0%")&amp;" below expected",IF(AND(I55&lt;&gt;"",I55&lt;-0.15),"CHECK: "&amp;TEXT(-I55,"0%")&amp;" below last year","OK")))</f>
        <v/>
      </c>
    </row>
    <row r="56" customFormat="false" ht="15" hidden="false" customHeight="false" outlineLevel="0" collapsed="false">
      <c r="A56" s="18" t="n">
        <f aca="false">EDATE(Setup!$B$8,51)</f>
        <v>47880</v>
      </c>
      <c r="B56" s="7"/>
      <c r="C56" s="7"/>
      <c r="D56" s="7"/>
      <c r="E56" s="8"/>
      <c r="F56" s="19" t="n">
        <f aca="false">Setup!$B$4*Setup!$B$5*INDEX(Setup!$E$17:$E$28,MONTH(A56))*(1-Setup!$B$11)^INT(51/12)</f>
        <v>1236.23374741217</v>
      </c>
      <c r="G56" s="20" t="str">
        <f aca="false">IF(B56="","",B56/F56)</f>
        <v/>
      </c>
      <c r="H56" s="19" t="str">
        <f aca="false">IF(ROW()-12&lt;5,"",IF(INDEX(B:B,ROW()-12)="","",INDEX(B:B,ROW()-12)))</f>
        <v/>
      </c>
      <c r="I56" s="21" t="str">
        <f aca="false">IF(OR(B56="",H56=""),"",B56/H56-1)</f>
        <v/>
      </c>
      <c r="J56" s="19" t="str">
        <f aca="false">IF(B56="","",(B56-N(D56))*Setup!$B$9+N(D56)*Setup!$B$10)</f>
        <v/>
      </c>
      <c r="K56" s="22" t="str">
        <f aca="false">IF(B56="","",IF(G56&lt;0.9,"CHECK: "&amp;TEXT(1-G56,"0%")&amp;" below expected",IF(AND(I56&lt;&gt;"",I56&lt;-0.15),"CHECK: "&amp;TEXT(-I56,"0%")&amp;" below last year","OK")))</f>
        <v/>
      </c>
    </row>
    <row r="57" customFormat="false" ht="15" hidden="false" customHeight="false" outlineLevel="0" collapsed="false">
      <c r="A57" s="18" t="n">
        <f aca="false">EDATE(Setup!$B$8,52)</f>
        <v>47908</v>
      </c>
      <c r="B57" s="7"/>
      <c r="C57" s="7"/>
      <c r="D57" s="7"/>
      <c r="E57" s="8"/>
      <c r="F57" s="19" t="n">
        <f aca="false">Setup!$B$4*Setup!$B$5*INDEX(Setup!$E$17:$E$28,MONTH(A57))*(1-Setup!$B$11)^INT(52/12)</f>
        <v>1139.12877826652</v>
      </c>
      <c r="G57" s="20" t="str">
        <f aca="false">IF(B57="","",B57/F57)</f>
        <v/>
      </c>
      <c r="H57" s="19" t="str">
        <f aca="false">IF(ROW()-12&lt;5,"",IF(INDEX(B:B,ROW()-12)="","",INDEX(B:B,ROW()-12)))</f>
        <v/>
      </c>
      <c r="I57" s="21" t="str">
        <f aca="false">IF(OR(B57="",H57=""),"",B57/H57-1)</f>
        <v/>
      </c>
      <c r="J57" s="19" t="str">
        <f aca="false">IF(B57="","",(B57-N(D57))*Setup!$B$9+N(D57)*Setup!$B$10)</f>
        <v/>
      </c>
      <c r="K57" s="22" t="str">
        <f aca="false">IF(B57="","",IF(G57&lt;0.9,"CHECK: "&amp;TEXT(1-G57,"0%")&amp;" below expected",IF(AND(I57&lt;&gt;"",I57&lt;-0.15),"CHECK: "&amp;TEXT(-I57,"0%")&amp;" below last year","OK")))</f>
        <v/>
      </c>
    </row>
    <row r="58" customFormat="false" ht="15" hidden="false" customHeight="false" outlineLevel="0" collapsed="false">
      <c r="A58" s="18" t="n">
        <f aca="false">EDATE(Setup!$B$8,53)</f>
        <v>47939</v>
      </c>
      <c r="B58" s="7"/>
      <c r="C58" s="7"/>
      <c r="D58" s="7"/>
      <c r="E58" s="8"/>
      <c r="F58" s="19" t="n">
        <f aca="false">Setup!$B$4*Setup!$B$5*INDEX(Setup!$E$17:$E$28,MONTH(A58))*(1-Setup!$B$11)^INT(53/12)</f>
        <v>1027.00161811473</v>
      </c>
      <c r="G58" s="20" t="str">
        <f aca="false">IF(B58="","",B58/F58)</f>
        <v/>
      </c>
      <c r="H58" s="19" t="str">
        <f aca="false">IF(ROW()-12&lt;5,"",IF(INDEX(B:B,ROW()-12)="","",INDEX(B:B,ROW()-12)))</f>
        <v/>
      </c>
      <c r="I58" s="21" t="str">
        <f aca="false">IF(OR(B58="",H58=""),"",B58/H58-1)</f>
        <v/>
      </c>
      <c r="J58" s="19" t="str">
        <f aca="false">IF(B58="","",(B58-N(D58))*Setup!$B$9+N(D58)*Setup!$B$10)</f>
        <v/>
      </c>
      <c r="K58" s="22" t="str">
        <f aca="false">IF(B58="","",IF(G58&lt;0.9,"CHECK: "&amp;TEXT(1-G58,"0%")&amp;" below expected",IF(AND(I58&lt;&gt;"",I58&lt;-0.15),"CHECK: "&amp;TEXT(-I58,"0%")&amp;" below last year","OK")))</f>
        <v/>
      </c>
    </row>
    <row r="59" customFormat="false" ht="15" hidden="false" customHeight="false" outlineLevel="0" collapsed="false">
      <c r="A59" s="18" t="n">
        <f aca="false">EDATE(Setup!$B$8,54)</f>
        <v>47969</v>
      </c>
      <c r="B59" s="7"/>
      <c r="C59" s="7"/>
      <c r="D59" s="7"/>
      <c r="E59" s="8"/>
      <c r="F59" s="19" t="n">
        <f aca="false">Setup!$B$4*Setup!$B$5*INDEX(Setup!$E$17:$E$28,MONTH(A59))*(1-Setup!$B$11)^INT(54/12)</f>
        <v>929.896648969076</v>
      </c>
      <c r="G59" s="20" t="str">
        <f aca="false">IF(B59="","",B59/F59)</f>
        <v/>
      </c>
      <c r="H59" s="19" t="str">
        <f aca="false">IF(ROW()-12&lt;5,"",IF(INDEX(B:B,ROW()-12)="","",INDEX(B:B,ROW()-12)))</f>
        <v/>
      </c>
      <c r="I59" s="21" t="str">
        <f aca="false">IF(OR(B59="",H59=""),"",B59/H59-1)</f>
        <v/>
      </c>
      <c r="J59" s="19" t="str">
        <f aca="false">IF(B59="","",(B59-N(D59))*Setup!$B$9+N(D59)*Setup!$B$10)</f>
        <v/>
      </c>
      <c r="K59" s="22" t="str">
        <f aca="false">IF(B59="","",IF(G59&lt;0.9,"CHECK: "&amp;TEXT(1-G59,"0%")&amp;" below expected",IF(AND(I59&lt;&gt;"",I59&lt;-0.15),"CHECK: "&amp;TEXT(-I59,"0%")&amp;" below last year","OK")))</f>
        <v/>
      </c>
    </row>
    <row r="60" customFormat="false" ht="15" hidden="false" customHeight="false" outlineLevel="0" collapsed="false">
      <c r="A60" s="18" t="n">
        <f aca="false">EDATE(Setup!$B$8,55)</f>
        <v>48000</v>
      </c>
      <c r="B60" s="7"/>
      <c r="C60" s="7"/>
      <c r="D60" s="7"/>
      <c r="E60" s="8"/>
      <c r="F60" s="19" t="n">
        <f aca="false">Setup!$B$4*Setup!$B$5*INDEX(Setup!$E$17:$E$28,MONTH(A60))*(1-Setup!$B$11)^INT(55/12)</f>
        <v>873.833068893182</v>
      </c>
      <c r="G60" s="20" t="str">
        <f aca="false">IF(B60="","",B60/F60)</f>
        <v/>
      </c>
      <c r="H60" s="19" t="str">
        <f aca="false">IF(ROW()-12&lt;5,"",IF(INDEX(B:B,ROW()-12)="","",INDEX(B:B,ROW()-12)))</f>
        <v/>
      </c>
      <c r="I60" s="21" t="str">
        <f aca="false">IF(OR(B60="",H60=""),"",B60/H60-1)</f>
        <v/>
      </c>
      <c r="J60" s="19" t="str">
        <f aca="false">IF(B60="","",(B60-N(D60))*Setup!$B$9+N(D60)*Setup!$B$10)</f>
        <v/>
      </c>
      <c r="K60" s="22" t="str">
        <f aca="false">IF(B60="","",IF(G60&lt;0.9,"CHECK: "&amp;TEXT(1-G60,"0%")&amp;" below expected",IF(AND(I60&lt;&gt;"",I60&lt;-0.15),"CHECK: "&amp;TEXT(-I60,"0%")&amp;" below last year","OK")))</f>
        <v/>
      </c>
    </row>
    <row r="61" customFormat="false" ht="15" hidden="false" customHeight="false" outlineLevel="0" collapsed="false">
      <c r="A61" s="18" t="n">
        <f aca="false">EDATE(Setup!$B$8,56)</f>
        <v>48030</v>
      </c>
      <c r="B61" s="7"/>
      <c r="C61" s="7"/>
      <c r="D61" s="7"/>
      <c r="E61" s="8"/>
      <c r="F61" s="19" t="n">
        <f aca="false">Setup!$B$4*Setup!$B$5*INDEX(Setup!$E$17:$E$28,MONTH(A61))*(1-Setup!$B$11)^INT(56/12)</f>
        <v>873.833068893182</v>
      </c>
      <c r="G61" s="20" t="str">
        <f aca="false">IF(B61="","",B61/F61)</f>
        <v/>
      </c>
      <c r="H61" s="19" t="str">
        <f aca="false">IF(ROW()-12&lt;5,"",IF(INDEX(B:B,ROW()-12)="","",INDEX(B:B,ROW()-12)))</f>
        <v/>
      </c>
      <c r="I61" s="21" t="str">
        <f aca="false">IF(OR(B61="",H61=""),"",B61/H61-1)</f>
        <v/>
      </c>
      <c r="J61" s="19" t="str">
        <f aca="false">IF(B61="","",(B61-N(D61))*Setup!$B$9+N(D61)*Setup!$B$10)</f>
        <v/>
      </c>
      <c r="K61" s="22" t="str">
        <f aca="false">IF(B61="","",IF(G61&lt;0.9,"CHECK: "&amp;TEXT(1-G61,"0%")&amp;" below expected",IF(AND(I61&lt;&gt;"",I61&lt;-0.15),"CHECK: "&amp;TEXT(-I61,"0%")&amp;" below last year","OK")))</f>
        <v/>
      </c>
    </row>
    <row r="62" customFormat="false" ht="15" hidden="false" customHeight="false" outlineLevel="0" collapsed="false">
      <c r="A62" s="18" t="n">
        <f aca="false">EDATE(Setup!$B$8,57)</f>
        <v>48061</v>
      </c>
      <c r="B62" s="7"/>
      <c r="C62" s="7"/>
      <c r="D62" s="7"/>
      <c r="E62" s="8"/>
      <c r="F62" s="19" t="n">
        <f aca="false">Setup!$B$4*Setup!$B$5*INDEX(Setup!$E$17:$E$28,MONTH(A62))*(1-Setup!$B$11)^INT(57/12)</f>
        <v>929.896648969076</v>
      </c>
      <c r="G62" s="20" t="str">
        <f aca="false">IF(B62="","",B62/F62)</f>
        <v/>
      </c>
      <c r="H62" s="19" t="str">
        <f aca="false">IF(ROW()-12&lt;5,"",IF(INDEX(B:B,ROW()-12)="","",INDEX(B:B,ROW()-12)))</f>
        <v/>
      </c>
      <c r="I62" s="21" t="str">
        <f aca="false">IF(OR(B62="",H62=""),"",B62/H62-1)</f>
        <v/>
      </c>
      <c r="J62" s="19" t="str">
        <f aca="false">IF(B62="","",(B62-N(D62))*Setup!$B$9+N(D62)*Setup!$B$10)</f>
        <v/>
      </c>
      <c r="K62" s="22" t="str">
        <f aca="false">IF(B62="","",IF(G62&lt;0.9,"CHECK: "&amp;TEXT(1-G62,"0%")&amp;" below expected",IF(AND(I62&lt;&gt;"",I62&lt;-0.15),"CHECK: "&amp;TEXT(-I62,"0%")&amp;" below last year","OK")))</f>
        <v/>
      </c>
    </row>
    <row r="63" customFormat="false" ht="15" hidden="false" customHeight="false" outlineLevel="0" collapsed="false">
      <c r="A63" s="18" t="n">
        <f aca="false">EDATE(Setup!$B$8,58)</f>
        <v>48092</v>
      </c>
      <c r="B63" s="7"/>
      <c r="C63" s="7"/>
      <c r="D63" s="7"/>
      <c r="E63" s="8"/>
      <c r="F63" s="19" t="n">
        <f aca="false">Setup!$B$4*Setup!$B$5*INDEX(Setup!$E$17:$E$28,MONTH(A63))*(1-Setup!$B$11)^INT(58/12)</f>
        <v>1027.00161811473</v>
      </c>
      <c r="G63" s="20" t="str">
        <f aca="false">IF(B63="","",B63/F63)</f>
        <v/>
      </c>
      <c r="H63" s="19" t="str">
        <f aca="false">IF(ROW()-12&lt;5,"",IF(INDEX(B:B,ROW()-12)="","",INDEX(B:B,ROW()-12)))</f>
        <v/>
      </c>
      <c r="I63" s="21" t="str">
        <f aca="false">IF(OR(B63="",H63=""),"",B63/H63-1)</f>
        <v/>
      </c>
      <c r="J63" s="19" t="str">
        <f aca="false">IF(B63="","",(B63-N(D63))*Setup!$B$9+N(D63)*Setup!$B$10)</f>
        <v/>
      </c>
      <c r="K63" s="22" t="str">
        <f aca="false">IF(B63="","",IF(G63&lt;0.9,"CHECK: "&amp;TEXT(1-G63,"0%")&amp;" below expected",IF(AND(I63&lt;&gt;"",I63&lt;-0.15),"CHECK: "&amp;TEXT(-I63,"0%")&amp;" below last year","OK")))</f>
        <v/>
      </c>
    </row>
    <row r="64" customFormat="false" ht="15" hidden="false" customHeight="false" outlineLevel="0" collapsed="false">
      <c r="A64" s="18" t="n">
        <f aca="false">EDATE(Setup!$B$8,59)</f>
        <v>48122</v>
      </c>
      <c r="B64" s="7"/>
      <c r="C64" s="7"/>
      <c r="D64" s="7"/>
      <c r="E64" s="8"/>
      <c r="F64" s="19" t="n">
        <f aca="false">Setup!$B$4*Setup!$B$5*INDEX(Setup!$E$17:$E$28,MONTH(A64))*(1-Setup!$B$11)^INT(59/12)</f>
        <v>1139.12877826652</v>
      </c>
      <c r="G64" s="20" t="str">
        <f aca="false">IF(B64="","",B64/F64)</f>
        <v/>
      </c>
      <c r="H64" s="19" t="str">
        <f aca="false">IF(ROW()-12&lt;5,"",IF(INDEX(B:B,ROW()-12)="","",INDEX(B:B,ROW()-12)))</f>
        <v/>
      </c>
      <c r="I64" s="21" t="str">
        <f aca="false">IF(OR(B64="",H64=""),"",B64/H64-1)</f>
        <v/>
      </c>
      <c r="J64" s="19" t="str">
        <f aca="false">IF(B64="","",(B64-N(D64))*Setup!$B$9+N(D64)*Setup!$B$10)</f>
        <v/>
      </c>
      <c r="K64" s="22" t="str">
        <f aca="false">IF(B64="","",IF(G64&lt;0.9,"CHECK: "&amp;TEXT(1-G64,"0%")&amp;" below expected",IF(AND(I64&lt;&gt;"",I64&lt;-0.15),"CHECK: "&amp;TEXT(-I64,"0%")&amp;" below last year","OK")))</f>
        <v/>
      </c>
    </row>
    <row r="66" customFormat="false" ht="15" hidden="false" customHeight="false" outlineLevel="0" collapsed="false">
      <c r="A66" s="16" t="s">
        <v>57</v>
      </c>
      <c r="B66" s="23" t="n">
        <f aca="false">SUM(B5:B64)</f>
        <v>0</v>
      </c>
      <c r="C66" s="23" t="n">
        <f aca="false">SUM(C5:C64)</f>
        <v>0</v>
      </c>
      <c r="D66" s="23" t="n">
        <f aca="false">SUM(D5:D64)</f>
        <v>0</v>
      </c>
      <c r="J66" s="23" t="n">
        <f aca="false">SUM(J5:J64)</f>
        <v>0</v>
      </c>
    </row>
    <row r="67" customFormat="false" ht="15" hidden="false" customHeight="false" outlineLevel="0" collapsed="false">
      <c r="A67" s="16" t="s">
        <v>58</v>
      </c>
      <c r="B67" s="24" t="n">
        <f aca="false">COUNT(B5:B64)</f>
        <v>0</v>
      </c>
    </row>
    <row r="68" customFormat="false" ht="15" hidden="false" customHeight="false" outlineLevel="0" collapsed="false">
      <c r="A68" s="16" t="s">
        <v>59</v>
      </c>
      <c r="B68" s="24" t="n">
        <f aca="false">COUNTIF(K5:K64,"CHECK*")</f>
        <v>0</v>
      </c>
    </row>
  </sheetData>
  <conditionalFormatting sqref="K5:K64">
    <cfRule type="expression" priority="2" aboveAverage="0" equalAverage="0" bottom="0" percent="0" rank="0" text="" dxfId="0">
      <formula>LEFT(K5,2)="OK"</formula>
    </cfRule>
    <cfRule type="expression" priority="3" aboveAverage="0" equalAverage="0" bottom="0" percent="0" rank="0" text="" dxfId="1">
      <formula>OR(LEFT(K5,5)="CHECK",LEFT(K5,8)="DUE SOON")</formula>
    </cfRule>
    <cfRule type="expression" priority="4" aboveAverage="0" equalAverage="0" bottom="0" percent="0" rank="0" text="" dxfId="2">
      <formula>LEFT(K5,7)="OVERDUE"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4" min="2" style="0" width="12"/>
    <col collapsed="false" customWidth="true" hidden="false" outlineLevel="0" max="5" min="5" style="0" width="32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10" min="9" style="0" width="12"/>
    <col collapsed="false" customWidth="true" hidden="false" outlineLevel="0" max="11" min="11" style="0" width="34"/>
  </cols>
  <sheetData>
    <row r="1" customFormat="false" ht="19.7" hidden="false" customHeight="false" outlineLevel="0" collapsed="false">
      <c r="A1" s="1" t="s">
        <v>60</v>
      </c>
    </row>
    <row r="2" customFormat="false" ht="15" hidden="false" customHeight="false" outlineLevel="0" collapsed="false">
      <c r="A2" s="2" t="s">
        <v>61</v>
      </c>
    </row>
    <row r="4" customFormat="false" ht="43.5" hidden="false" customHeight="true" outlineLevel="0" collapsed="false">
      <c r="A4" s="13" t="s">
        <v>27</v>
      </c>
      <c r="B4" s="13" t="s">
        <v>47</v>
      </c>
      <c r="C4" s="13" t="s">
        <v>48</v>
      </c>
      <c r="D4" s="13" t="s">
        <v>49</v>
      </c>
      <c r="E4" s="13" t="s">
        <v>50</v>
      </c>
      <c r="F4" s="13" t="s">
        <v>51</v>
      </c>
      <c r="G4" s="13" t="s">
        <v>52</v>
      </c>
      <c r="H4" s="13" t="s">
        <v>53</v>
      </c>
      <c r="I4" s="13" t="s">
        <v>54</v>
      </c>
      <c r="J4" s="13" t="s">
        <v>55</v>
      </c>
      <c r="K4" s="13" t="s">
        <v>56</v>
      </c>
    </row>
    <row r="5" customFormat="false" ht="15" hidden="false" customHeight="false" outlineLevel="0" collapsed="false">
      <c r="A5" s="18" t="n">
        <f aca="false">EDATE(Setup!$B$8,0)</f>
        <v>46327</v>
      </c>
      <c r="B5" s="7" t="n">
        <v>1218</v>
      </c>
      <c r="C5" s="7" t="n">
        <v>352</v>
      </c>
      <c r="D5" s="7" t="n">
        <v>512</v>
      </c>
      <c r="E5" s="8"/>
      <c r="F5" s="19" t="n">
        <f aca="false">Setup!$B$4*Setup!$B$5*INDEX(Setup!$E$17:$E$28,MONTH(A5))*(1-Setup!$B$11)^INT(0/12)</f>
        <v>1261.27059864223</v>
      </c>
      <c r="G5" s="20" t="n">
        <f aca="false">IF(B5="","",B5/F5)</f>
        <v>0.965692850773808</v>
      </c>
      <c r="H5" s="19" t="str">
        <f aca="false">IF(ROW()-12&lt;5,"",IF(INDEX(B:B,ROW()-12)="","",INDEX(B:B,ROW()-12)))</f>
        <v/>
      </c>
      <c r="I5" s="21" t="str">
        <f aca="false">IF(OR(B5="",H5=""),"",B5/H5-1)</f>
        <v/>
      </c>
      <c r="J5" s="19" t="n">
        <f aca="false">IF(B5="","",(B5-N(D5))*Setup!$B$9+N(D5)*Setup!$B$10)</f>
        <v>2703.98</v>
      </c>
      <c r="K5" s="22" t="str">
        <f aca="false">IF(B5="","",IF(G5&lt;0.9,"CHECK: "&amp;TEXT(1-G5,"0%")&amp;" below expected",IF(AND(I5&lt;&gt;"",I5&lt;-0.15),"CHECK: "&amp;TEXT(-I5,"0%")&amp;" below last year","OK")))</f>
        <v>OK</v>
      </c>
    </row>
    <row r="6" customFormat="false" ht="15" hidden="false" customHeight="false" outlineLevel="0" collapsed="false">
      <c r="A6" s="18" t="n">
        <f aca="false">EDATE(Setup!$B$8,1)</f>
        <v>46357</v>
      </c>
      <c r="B6" s="7" t="n">
        <v>1297</v>
      </c>
      <c r="C6" s="7" t="n">
        <v>356</v>
      </c>
      <c r="D6" s="7" t="n">
        <v>545</v>
      </c>
      <c r="E6" s="8"/>
      <c r="F6" s="19" t="n">
        <f aca="false">Setup!$B$4*Setup!$B$5*INDEX(Setup!$E$17:$E$28,MONTH(A6))*(1-Setup!$B$11)^INT(1/12)</f>
        <v>1318.46960760988</v>
      </c>
      <c r="G6" s="20" t="n">
        <f aca="false">IF(B6="","",B6/F6)</f>
        <v>0.983716266582129</v>
      </c>
      <c r="H6" s="19" t="str">
        <f aca="false">IF(ROW()-12&lt;5,"",IF(INDEX(B:B,ROW()-12)="","",INDEX(B:B,ROW()-12)))</f>
        <v/>
      </c>
      <c r="I6" s="21" t="str">
        <f aca="false">IF(OR(B6="",H6=""),"",B6/H6-1)</f>
        <v/>
      </c>
      <c r="J6" s="19" t="n">
        <f aca="false">IF(B6="","",(B6-N(D6))*Setup!$B$9+N(D6)*Setup!$B$10)</f>
        <v>2880.16</v>
      </c>
      <c r="K6" s="22" t="str">
        <f aca="false">IF(B6="","",IF(G6&lt;0.9,"CHECK: "&amp;TEXT(1-G6,"0%")&amp;" below expected",IF(AND(I6&lt;&gt;"",I6&lt;-0.15),"CHECK: "&amp;TEXT(-I6,"0%")&amp;" below last year","OK")))</f>
        <v>OK</v>
      </c>
    </row>
    <row r="7" customFormat="false" ht="15" hidden="false" customHeight="false" outlineLevel="0" collapsed="false">
      <c r="A7" s="18" t="n">
        <f aca="false">EDATE(Setup!$B$8,2)</f>
        <v>46388</v>
      </c>
      <c r="B7" s="7" t="n">
        <v>1134</v>
      </c>
      <c r="C7" s="7" t="n">
        <v>375</v>
      </c>
      <c r="D7" s="7" t="n">
        <v>476</v>
      </c>
      <c r="E7" s="8" t="s">
        <v>62</v>
      </c>
      <c r="F7" s="19" t="n">
        <f aca="false">Setup!$B$4*Setup!$B$5*INDEX(Setup!$E$17:$E$28,MONTH(A7))*(1-Setup!$B$11)^INT(2/12)</f>
        <v>1318.46960760988</v>
      </c>
      <c r="G7" s="20" t="n">
        <f aca="false">IF(B7="","",B7/F7)</f>
        <v>0.860088085045593</v>
      </c>
      <c r="H7" s="19" t="str">
        <f aca="false">IF(ROW()-12&lt;5,"",IF(INDEX(B:B,ROW()-12)="","",INDEX(B:B,ROW()-12)))</f>
        <v/>
      </c>
      <c r="I7" s="21" t="str">
        <f aca="false">IF(OR(B7="",H7=""),"",B7/H7-1)</f>
        <v/>
      </c>
      <c r="J7" s="19" t="n">
        <f aca="false">IF(B7="","",(B7-N(D7))*Setup!$B$9+N(D7)*Setup!$B$10)</f>
        <v>2520.14</v>
      </c>
      <c r="K7" s="22" t="str">
        <f aca="false">IF(B7="","",IF(G7&lt;0.9,"CHECK: "&amp;TEXT(1-G7,"0%")&amp;" below expected",IF(AND(I7&lt;&gt;"",I7&lt;-0.15),"CHECK: "&amp;TEXT(-I7,"0%")&amp;" below last year","OK")))</f>
        <v>CHECK: 14% below expected</v>
      </c>
    </row>
    <row r="8" customFormat="false" ht="15" hidden="false" customHeight="false" outlineLevel="0" collapsed="false">
      <c r="A8" s="18" t="n">
        <f aca="false">EDATE(Setup!$B$8,3)</f>
        <v>46419</v>
      </c>
      <c r="B8" s="7" t="n">
        <v>1313</v>
      </c>
      <c r="C8" s="7" t="n">
        <v>405</v>
      </c>
      <c r="D8" s="7" t="n">
        <v>551</v>
      </c>
      <c r="E8" s="8"/>
      <c r="F8" s="19" t="n">
        <f aca="false">Setup!$B$4*Setup!$B$5*INDEX(Setup!$E$17:$E$28,MONTH(A8))*(1-Setup!$B$11)^INT(3/12)</f>
        <v>1261.27059864223</v>
      </c>
      <c r="G8" s="20" t="n">
        <f aca="false">IF(B8="","",B8/F8)</f>
        <v>1.04101372172907</v>
      </c>
      <c r="H8" s="19" t="str">
        <f aca="false">IF(ROW()-12&lt;5,"",IF(INDEX(B:B,ROW()-12)="","",INDEX(B:B,ROW()-12)))</f>
        <v/>
      </c>
      <c r="I8" s="21" t="str">
        <f aca="false">IF(OR(B8="",H8=""),"",B8/H8-1)</f>
        <v/>
      </c>
      <c r="J8" s="19" t="n">
        <f aca="false">IF(B8="","",(B8-N(D8))*Setup!$B$9+N(D8)*Setup!$B$10)</f>
        <v>2918.46</v>
      </c>
      <c r="K8" s="22" t="str">
        <f aca="false">IF(B8="","",IF(G8&lt;0.9,"CHECK: "&amp;TEXT(1-G8,"0%")&amp;" below expected",IF(AND(I8&lt;&gt;"",I8&lt;-0.15),"CHECK: "&amp;TEXT(-I8,"0%")&amp;" below last year","OK")))</f>
        <v>OK</v>
      </c>
    </row>
    <row r="9" customFormat="false" ht="15" hidden="false" customHeight="false" outlineLevel="0" collapsed="false">
      <c r="A9" s="18" t="n">
        <f aca="false">EDATE(Setup!$B$8,4)</f>
        <v>46447</v>
      </c>
      <c r="B9" s="7" t="n">
        <v>1190</v>
      </c>
      <c r="C9" s="7" t="n">
        <v>361</v>
      </c>
      <c r="D9" s="7" t="n">
        <v>500</v>
      </c>
      <c r="E9" s="8"/>
      <c r="F9" s="19" t="n">
        <f aca="false">Setup!$B$4*Setup!$B$5*INDEX(Setup!$E$17:$E$28,MONTH(A9))*(1-Setup!$B$11)^INT(4/12)</f>
        <v>1162.19900896766</v>
      </c>
      <c r="G9" s="20" t="n">
        <f aca="false">IF(B9="","",B9/F9)</f>
        <v>1.02392102455589</v>
      </c>
      <c r="H9" s="19" t="str">
        <f aca="false">IF(ROW()-12&lt;5,"",IF(INDEX(B:B,ROW()-12)="","",INDEX(B:B,ROW()-12)))</f>
        <v/>
      </c>
      <c r="I9" s="21" t="str">
        <f aca="false">IF(OR(B9="",H9=""),"",B9/H9-1)</f>
        <v/>
      </c>
      <c r="J9" s="19" t="n">
        <f aca="false">IF(B9="","",(B9-N(D9))*Setup!$B$9+N(D9)*Setup!$B$10)</f>
        <v>2642.7</v>
      </c>
      <c r="K9" s="22" t="str">
        <f aca="false">IF(B9="","",IF(G9&lt;0.9,"CHECK: "&amp;TEXT(1-G9,"0%")&amp;" below expected",IF(AND(I9&lt;&gt;"",I9&lt;-0.15),"CHECK: "&amp;TEXT(-I9,"0%")&amp;" below last year","OK")))</f>
        <v>OK</v>
      </c>
    </row>
    <row r="10" customFormat="false" ht="15" hidden="false" customHeight="false" outlineLevel="0" collapsed="false">
      <c r="A10" s="18" t="n">
        <f aca="false">EDATE(Setup!$B$8,5)</f>
        <v>46478</v>
      </c>
      <c r="B10" s="7" t="n">
        <v>1047</v>
      </c>
      <c r="C10" s="7" t="n">
        <v>365</v>
      </c>
      <c r="D10" s="7" t="n">
        <v>440</v>
      </c>
      <c r="E10" s="8"/>
      <c r="F10" s="19" t="n">
        <f aca="false">Setup!$B$4*Setup!$B$5*INDEX(Setup!$E$17:$E$28,MONTH(A10))*(1-Setup!$B$11)^INT(5/12)</f>
        <v>1047.80099103234</v>
      </c>
      <c r="G10" s="20" t="n">
        <f aca="false">IF(B10="","",B10/F10)</f>
        <v>0.999235550415395</v>
      </c>
      <c r="H10" s="19" t="str">
        <f aca="false">IF(ROW()-12&lt;5,"",IF(INDEX(B:B,ROW()-12)="","",INDEX(B:B,ROW()-12)))</f>
        <v/>
      </c>
      <c r="I10" s="21" t="str">
        <f aca="false">IF(OR(B10="",H10=""),"",B10/H10-1)</f>
        <v/>
      </c>
      <c r="J10" s="19" t="n">
        <f aca="false">IF(B10="","",(B10-N(D10))*Setup!$B$9+N(D10)*Setup!$B$10)</f>
        <v>2324.81</v>
      </c>
      <c r="K10" s="22" t="str">
        <f aca="false">IF(B10="","",IF(G10&lt;0.9,"CHECK: "&amp;TEXT(1-G10,"0%")&amp;" below expected",IF(AND(I10&lt;&gt;"",I10&lt;-0.15),"CHECK: "&amp;TEXT(-I10,"0%")&amp;" below last year","OK")))</f>
        <v>OK</v>
      </c>
    </row>
    <row r="11" customFormat="false" ht="15" hidden="false" customHeight="false" outlineLevel="0" collapsed="false">
      <c r="A11" s="18" t="n">
        <f aca="false">EDATE(Setup!$B$8,6)</f>
        <v>46508</v>
      </c>
      <c r="B11" s="7" t="n">
        <v>910</v>
      </c>
      <c r="C11" s="7" t="n">
        <v>634</v>
      </c>
      <c r="D11" s="7" t="n">
        <v>382</v>
      </c>
      <c r="E11" s="8"/>
      <c r="F11" s="19" t="n">
        <f aca="false">Setup!$B$4*Setup!$B$5*INDEX(Setup!$E$17:$E$28,MONTH(A11))*(1-Setup!$B$11)^INT(6/12)</f>
        <v>948.729401357773</v>
      </c>
      <c r="G11" s="20" t="n">
        <f aca="false">IF(B11="","",B11/F11)</f>
        <v>0.959177610283453</v>
      </c>
      <c r="H11" s="19" t="str">
        <f aca="false">IF(ROW()-12&lt;5,"",IF(INDEX(B:B,ROW()-12)="","",INDEX(B:B,ROW()-12)))</f>
        <v/>
      </c>
      <c r="I11" s="21" t="str">
        <f aca="false">IF(OR(B11="",H11=""),"",B11/H11-1)</f>
        <v/>
      </c>
      <c r="J11" s="19" t="n">
        <f aca="false">IF(B11="","",(B11-N(D11))*Setup!$B$9+N(D11)*Setup!$B$10)</f>
        <v>2022.24</v>
      </c>
      <c r="K11" s="22" t="str">
        <f aca="false">IF(B11="","",IF(G11&lt;0.9,"CHECK: "&amp;TEXT(1-G11,"0%")&amp;" below expected",IF(AND(I11&lt;&gt;"",I11&lt;-0.15),"CHECK: "&amp;TEXT(-I11,"0%")&amp;" below last year","OK")))</f>
        <v>OK</v>
      </c>
    </row>
    <row r="12" customFormat="false" ht="15" hidden="false" customHeight="false" outlineLevel="0" collapsed="false">
      <c r="A12" s="18" t="n">
        <f aca="false">EDATE(Setup!$B$8,7)</f>
        <v>46539</v>
      </c>
      <c r="B12" s="7" t="n">
        <v>859</v>
      </c>
      <c r="C12" s="7" t="n">
        <v>747</v>
      </c>
      <c r="D12" s="7" t="n">
        <v>361</v>
      </c>
      <c r="E12" s="8"/>
      <c r="F12" s="19" t="n">
        <f aca="false">Setup!$B$4*Setup!$B$5*INDEX(Setup!$E$17:$E$28,MONTH(A12))*(1-Setup!$B$11)^INT(7/12)</f>
        <v>891.530392390116</v>
      </c>
      <c r="G12" s="20" t="n">
        <f aca="false">IF(B12="","",B12/F12)</f>
        <v>0.963511740409764</v>
      </c>
      <c r="H12" s="19" t="str">
        <f aca="false">IF(ROW()-12&lt;5,"",IF(INDEX(B:B,ROW()-12)="","",INDEX(B:B,ROW()-12)))</f>
        <v/>
      </c>
      <c r="I12" s="21" t="str">
        <f aca="false">IF(OR(B12="",H12=""),"",B12/H12-1)</f>
        <v/>
      </c>
      <c r="J12" s="19" t="n">
        <f aca="false">IF(B12="","",(B12-N(D12))*Setup!$B$9+N(D12)*Setup!$B$10)</f>
        <v>1907.34</v>
      </c>
      <c r="K12" s="22" t="str">
        <f aca="false">IF(B12="","",IF(G12&lt;0.9,"CHECK: "&amp;TEXT(1-G12,"0%")&amp;" below expected",IF(AND(I12&lt;&gt;"",I12&lt;-0.15),"CHECK: "&amp;TEXT(-I12,"0%")&amp;" below last year","OK")))</f>
        <v>OK</v>
      </c>
    </row>
    <row r="13" customFormat="false" ht="15" hidden="false" customHeight="false" outlineLevel="0" collapsed="false">
      <c r="A13" s="18" t="n">
        <f aca="false">EDATE(Setup!$B$8,8)</f>
        <v>46569</v>
      </c>
      <c r="B13" s="7" t="n">
        <v>919</v>
      </c>
      <c r="C13" s="7" t="n">
        <v>731</v>
      </c>
      <c r="D13" s="7" t="n">
        <v>386</v>
      </c>
      <c r="E13" s="8"/>
      <c r="F13" s="19" t="n">
        <f aca="false">Setup!$B$4*Setup!$B$5*INDEX(Setup!$E$17:$E$28,MONTH(A13))*(1-Setup!$B$11)^INT(8/12)</f>
        <v>891.530392390116</v>
      </c>
      <c r="G13" s="20" t="n">
        <f aca="false">IF(B13="","",B13/F13)</f>
        <v>1.03081174556062</v>
      </c>
      <c r="H13" s="19" t="str">
        <f aca="false">IF(ROW()-12&lt;5,"",IF(INDEX(B:B,ROW()-12)="","",INDEX(B:B,ROW()-12)))</f>
        <v/>
      </c>
      <c r="I13" s="21" t="str">
        <f aca="false">IF(OR(B13="",H13=""),"",B13/H13-1)</f>
        <v/>
      </c>
      <c r="J13" s="19" t="n">
        <f aca="false">IF(B13="","",(B13-N(D13))*Setup!$B$9+N(D13)*Setup!$B$10)</f>
        <v>2041.39</v>
      </c>
      <c r="K13" s="22" t="str">
        <f aca="false">IF(B13="","",IF(G13&lt;0.9,"CHECK: "&amp;TEXT(1-G13,"0%")&amp;" below expected",IF(AND(I13&lt;&gt;"",I13&lt;-0.15),"CHECK: "&amp;TEXT(-I13,"0%")&amp;" below last year","OK")))</f>
        <v>OK</v>
      </c>
    </row>
    <row r="14" customFormat="false" ht="15" hidden="false" customHeight="false" outlineLevel="0" collapsed="false">
      <c r="A14" s="18" t="n">
        <f aca="false">EDATE(Setup!$B$8,9)</f>
        <v>46600</v>
      </c>
      <c r="B14" s="7" t="n">
        <v>740</v>
      </c>
      <c r="C14" s="7" t="n">
        <v>646</v>
      </c>
      <c r="D14" s="7" t="n">
        <v>311</v>
      </c>
      <c r="E14" s="8" t="s">
        <v>63</v>
      </c>
      <c r="F14" s="19" t="n">
        <f aca="false">Setup!$B$4*Setup!$B$5*INDEX(Setup!$E$17:$E$28,MONTH(A14))*(1-Setup!$B$11)^INT(9/12)</f>
        <v>948.729401357773</v>
      </c>
      <c r="G14" s="20" t="n">
        <f aca="false">IF(B14="","",B14/F14)</f>
        <v>0.779990584186545</v>
      </c>
      <c r="H14" s="19" t="str">
        <f aca="false">IF(ROW()-12&lt;5,"",IF(INDEX(B:B,ROW()-12)="","",INDEX(B:B,ROW()-12)))</f>
        <v/>
      </c>
      <c r="I14" s="21" t="str">
        <f aca="false">IF(OR(B14="",H14=""),"",B14/H14-1)</f>
        <v/>
      </c>
      <c r="J14" s="19" t="n">
        <f aca="false">IF(B14="","",(B14-N(D14))*Setup!$B$9+N(D14)*Setup!$B$10)</f>
        <v>1643.07</v>
      </c>
      <c r="K14" s="22" t="str">
        <f aca="false">IF(B14="","",IF(G14&lt;0.9,"CHECK: "&amp;TEXT(1-G14,"0%")&amp;" below expected",IF(AND(I14&lt;&gt;"",I14&lt;-0.15),"CHECK: "&amp;TEXT(-I14,"0%")&amp;" below last year","OK")))</f>
        <v>CHECK: 22% below expected</v>
      </c>
    </row>
    <row r="15" customFormat="false" ht="15" hidden="false" customHeight="false" outlineLevel="0" collapsed="false">
      <c r="A15" s="18" t="n">
        <f aca="false">EDATE(Setup!$B$8,10)</f>
        <v>46631</v>
      </c>
      <c r="B15" s="7" t="n">
        <v>1048</v>
      </c>
      <c r="C15" s="7" t="n">
        <v>392</v>
      </c>
      <c r="D15" s="7" t="n">
        <v>440</v>
      </c>
      <c r="E15" s="8" t="s">
        <v>64</v>
      </c>
      <c r="F15" s="19" t="n">
        <f aca="false">Setup!$B$4*Setup!$B$5*INDEX(Setup!$E$17:$E$28,MONTH(A15))*(1-Setup!$B$11)^INT(10/12)</f>
        <v>1047.80099103234</v>
      </c>
      <c r="G15" s="20" t="n">
        <f aca="false">IF(B15="","",B15/F15)</f>
        <v>1.00018993011971</v>
      </c>
      <c r="H15" s="19" t="str">
        <f aca="false">IF(ROW()-12&lt;5,"",IF(INDEX(B:B,ROW()-12)="","",INDEX(B:B,ROW()-12)))</f>
        <v/>
      </c>
      <c r="I15" s="21" t="str">
        <f aca="false">IF(OR(B15="",H15=""),"",B15/H15-1)</f>
        <v/>
      </c>
      <c r="J15" s="19" t="n">
        <f aca="false">IF(B15="","",(B15-N(D15))*Setup!$B$9+N(D15)*Setup!$B$10)</f>
        <v>2328.64</v>
      </c>
      <c r="K15" s="22" t="str">
        <f aca="false">IF(B15="","",IF(G15&lt;0.9,"CHECK: "&amp;TEXT(1-G15,"0%")&amp;" below expected",IF(AND(I15&lt;&gt;"",I15&lt;-0.15),"CHECK: "&amp;TEXT(-I15,"0%")&amp;" below last year","OK")))</f>
        <v>OK</v>
      </c>
    </row>
    <row r="16" customFormat="false" ht="15" hidden="false" customHeight="false" outlineLevel="0" collapsed="false">
      <c r="A16" s="18" t="n">
        <f aca="false">EDATE(Setup!$B$8,11)</f>
        <v>46661</v>
      </c>
      <c r="B16" s="7" t="n">
        <v>1186</v>
      </c>
      <c r="C16" s="7" t="n">
        <v>410</v>
      </c>
      <c r="D16" s="7" t="n">
        <v>498</v>
      </c>
      <c r="E16" s="8"/>
      <c r="F16" s="19" t="n">
        <f aca="false">Setup!$B$4*Setup!$B$5*INDEX(Setup!$E$17:$E$28,MONTH(A16))*(1-Setup!$B$11)^INT(11/12)</f>
        <v>1162.19900896766</v>
      </c>
      <c r="G16" s="20" t="n">
        <f aca="false">IF(B16="","",B16/F16)</f>
        <v>1.02047927321284</v>
      </c>
      <c r="H16" s="19" t="str">
        <f aca="false">IF(ROW()-12&lt;5,"",IF(INDEX(B:B,ROW()-12)="","",INDEX(B:B,ROW()-12)))</f>
        <v/>
      </c>
      <c r="I16" s="21" t="str">
        <f aca="false">IF(OR(B16="",H16=""),"",B16/H16-1)</f>
        <v/>
      </c>
      <c r="J16" s="19" t="n">
        <f aca="false">IF(B16="","",(B16-N(D16))*Setup!$B$9+N(D16)*Setup!$B$10)</f>
        <v>2635.04</v>
      </c>
      <c r="K16" s="22" t="str">
        <f aca="false">IF(B16="","",IF(G16&lt;0.9,"CHECK: "&amp;TEXT(1-G16,"0%")&amp;" below expected",IF(AND(I16&lt;&gt;"",I16&lt;-0.15),"CHECK: "&amp;TEXT(-I16,"0%")&amp;" below last year","OK")))</f>
        <v>OK</v>
      </c>
    </row>
    <row r="17" customFormat="false" ht="15" hidden="false" customHeight="false" outlineLevel="0" collapsed="false">
      <c r="A17" s="18" t="n">
        <f aca="false">EDATE(Setup!$B$8,12)</f>
        <v>46692</v>
      </c>
      <c r="B17" s="7" t="n">
        <v>1301</v>
      </c>
      <c r="C17" s="7" t="n">
        <v>351</v>
      </c>
      <c r="D17" s="7" t="n">
        <v>546</v>
      </c>
      <c r="E17" s="8"/>
      <c r="F17" s="19" t="n">
        <f aca="false">Setup!$B$4*Setup!$B$5*INDEX(Setup!$E$17:$E$28,MONTH(A17))*(1-Setup!$B$11)^INT(12/12)</f>
        <v>1254.96424564902</v>
      </c>
      <c r="G17" s="20" t="n">
        <f aca="false">IF(B17="","",B17/F17)</f>
        <v>1.03668292105579</v>
      </c>
      <c r="H17" s="19" t="n">
        <f aca="false">IF(ROW()-12&lt;5,"",IF(INDEX(B:B,ROW()-12)="","",INDEX(B:B,ROW()-12)))</f>
        <v>1218</v>
      </c>
      <c r="I17" s="21" t="n">
        <f aca="false">IF(OR(B17="",H17=""),"",B17/H17-1)</f>
        <v>0.0681444991789819</v>
      </c>
      <c r="J17" s="19" t="n">
        <f aca="false">IF(B17="","",(B17-N(D17))*Setup!$B$9+N(D17)*Setup!$B$10)</f>
        <v>2891.65</v>
      </c>
      <c r="K17" s="22" t="str">
        <f aca="false">IF(B17="","",IF(G17&lt;0.9,"CHECK: "&amp;TEXT(1-G17,"0%")&amp;" below expected",IF(AND(I17&lt;&gt;"",I17&lt;-0.15),"CHECK: "&amp;TEXT(-I17,"0%")&amp;" below last year","OK")))</f>
        <v>OK</v>
      </c>
    </row>
    <row r="18" customFormat="false" ht="15" hidden="false" customHeight="false" outlineLevel="0" collapsed="false">
      <c r="A18" s="18" t="n">
        <f aca="false">EDATE(Setup!$B$8,13)</f>
        <v>46722</v>
      </c>
      <c r="B18" s="7" t="n">
        <v>1321</v>
      </c>
      <c r="C18" s="7" t="n">
        <v>396</v>
      </c>
      <c r="D18" s="7" t="n">
        <v>555</v>
      </c>
      <c r="E18" s="8"/>
      <c r="F18" s="19" t="n">
        <f aca="false">Setup!$B$4*Setup!$B$5*INDEX(Setup!$E$17:$E$28,MONTH(A18))*(1-Setup!$B$11)^INT(13/12)</f>
        <v>1311.87725957183</v>
      </c>
      <c r="G18" s="20" t="n">
        <f aca="false">IF(B18="","",B18/F18)</f>
        <v>1.00695395881101</v>
      </c>
      <c r="H18" s="19" t="n">
        <f aca="false">IF(ROW()-12&lt;5,"",IF(INDEX(B:B,ROW()-12)="","",INDEX(B:B,ROW()-12)))</f>
        <v>1297</v>
      </c>
      <c r="I18" s="21" t="n">
        <f aca="false">IF(OR(B18="",H18=""),"",B18/H18-1)</f>
        <v>0.0185042405551272</v>
      </c>
      <c r="J18" s="19" t="n">
        <f aca="false">IF(B18="","",(B18-N(D18))*Setup!$B$9+N(D18)*Setup!$B$10)</f>
        <v>2933.78</v>
      </c>
      <c r="K18" s="22" t="str">
        <f aca="false">IF(B18="","",IF(G18&lt;0.9,"CHECK: "&amp;TEXT(1-G18,"0%")&amp;" below expected",IF(AND(I18&lt;&gt;"",I18&lt;-0.15),"CHECK: "&amp;TEXT(-I18,"0%")&amp;" below last year","OK")))</f>
        <v>OK</v>
      </c>
    </row>
    <row r="19" customFormat="false" ht="15" hidden="false" customHeight="false" outlineLevel="0" collapsed="false">
      <c r="A19" s="18" t="n">
        <f aca="false">EDATE(Setup!$B$8,14)</f>
        <v>46753</v>
      </c>
      <c r="B19" s="7" t="n">
        <v>1306</v>
      </c>
      <c r="C19" s="7" t="n">
        <v>358</v>
      </c>
      <c r="D19" s="7" t="n">
        <v>549</v>
      </c>
      <c r="E19" s="8"/>
      <c r="F19" s="19" t="n">
        <f aca="false">Setup!$B$4*Setup!$B$5*INDEX(Setup!$E$17:$E$28,MONTH(A19))*(1-Setup!$B$11)^INT(14/12)</f>
        <v>1311.87725957183</v>
      </c>
      <c r="G19" s="20" t="n">
        <f aca="false">IF(B19="","",B19/F19)</f>
        <v>0.995519962306723</v>
      </c>
      <c r="H19" s="19" t="n">
        <f aca="false">IF(ROW()-12&lt;5,"",IF(INDEX(B:B,ROW()-12)="","",INDEX(B:B,ROW()-12)))</f>
        <v>1134</v>
      </c>
      <c r="I19" s="21" t="n">
        <f aca="false">IF(OR(B19="",H19=""),"",B19/H19-1)</f>
        <v>0.151675485008818</v>
      </c>
      <c r="J19" s="19" t="n">
        <f aca="false">IF(B19="","",(B19-N(D19))*Setup!$B$9+N(D19)*Setup!$B$10)</f>
        <v>2899.31</v>
      </c>
      <c r="K19" s="22" t="str">
        <f aca="false">IF(B19="","",IF(G19&lt;0.9,"CHECK: "&amp;TEXT(1-G19,"0%")&amp;" below expected",IF(AND(I19&lt;&gt;"",I19&lt;-0.15),"CHECK: "&amp;TEXT(-I19,"0%")&amp;" below last year","OK")))</f>
        <v>OK</v>
      </c>
    </row>
    <row r="20" customFormat="false" ht="15" hidden="false" customHeight="false" outlineLevel="0" collapsed="false">
      <c r="A20" s="18" t="n">
        <f aca="false">EDATE(Setup!$B$8,15)</f>
        <v>46784</v>
      </c>
      <c r="B20" s="7" t="n">
        <v>1245</v>
      </c>
      <c r="C20" s="7" t="n">
        <v>351</v>
      </c>
      <c r="D20" s="7" t="n">
        <v>523</v>
      </c>
      <c r="E20" s="8"/>
      <c r="F20" s="19" t="n">
        <f aca="false">Setup!$B$4*Setup!$B$5*INDEX(Setup!$E$17:$E$28,MONTH(A20))*(1-Setup!$B$11)^INT(15/12)</f>
        <v>1254.96424564902</v>
      </c>
      <c r="G20" s="20" t="n">
        <f aca="false">IF(B20="","",B20/F20)</f>
        <v>0.992060135829716</v>
      </c>
      <c r="H20" s="19" t="n">
        <f aca="false">IF(ROW()-12&lt;5,"",IF(INDEX(B:B,ROW()-12)="","",INDEX(B:B,ROW()-12)))</f>
        <v>1313</v>
      </c>
      <c r="I20" s="21" t="n">
        <f aca="false">IF(OR(B20="",H20=""),"",B20/H20-1)</f>
        <v>-0.0517897943640518</v>
      </c>
      <c r="J20" s="19" t="n">
        <f aca="false">IF(B20="","",(B20-N(D20))*Setup!$B$9+N(D20)*Setup!$B$10)</f>
        <v>2765.26</v>
      </c>
      <c r="K20" s="22" t="str">
        <f aca="false">IF(B20="","",IF(G20&lt;0.9,"CHECK: "&amp;TEXT(1-G20,"0%")&amp;" below expected",IF(AND(I20&lt;&gt;"",I20&lt;-0.15),"CHECK: "&amp;TEXT(-I20,"0%")&amp;" below last year","OK")))</f>
        <v>OK</v>
      </c>
    </row>
    <row r="21" customFormat="false" ht="15" hidden="false" customHeight="false" outlineLevel="0" collapsed="false">
      <c r="A21" s="18" t="n">
        <f aca="false">EDATE(Setup!$B$8,16)</f>
        <v>46813</v>
      </c>
      <c r="B21" s="7" t="n">
        <v>1206</v>
      </c>
      <c r="C21" s="7" t="n">
        <v>410</v>
      </c>
      <c r="D21" s="7" t="n">
        <v>507</v>
      </c>
      <c r="E21" s="8"/>
      <c r="F21" s="19" t="n">
        <f aca="false">Setup!$B$4*Setup!$B$5*INDEX(Setup!$E$17:$E$28,MONTH(A21))*(1-Setup!$B$11)^INT(16/12)</f>
        <v>1156.38801392282</v>
      </c>
      <c r="G21" s="20" t="n">
        <f aca="false">IF(B21="","",B21/F21)</f>
        <v>1.04290254264127</v>
      </c>
      <c r="H21" s="19" t="n">
        <f aca="false">IF(ROW()-12&lt;5,"",IF(INDEX(B:B,ROW()-12)="","",INDEX(B:B,ROW()-12)))</f>
        <v>1190</v>
      </c>
      <c r="I21" s="21" t="n">
        <f aca="false">IF(OR(B21="",H21=""),"",B21/H21-1)</f>
        <v>0.0134453781512605</v>
      </c>
      <c r="J21" s="19" t="n">
        <f aca="false">IF(B21="","",(B21-N(D21))*Setup!$B$9+N(D21)*Setup!$B$10)</f>
        <v>2677.17</v>
      </c>
      <c r="K21" s="22" t="str">
        <f aca="false">IF(B21="","",IF(G21&lt;0.9,"CHECK: "&amp;TEXT(1-G21,"0%")&amp;" below expected",IF(AND(I21&lt;&gt;"",I21&lt;-0.15),"CHECK: "&amp;TEXT(-I21,"0%")&amp;" below last year","OK")))</f>
        <v>OK</v>
      </c>
    </row>
    <row r="22" customFormat="false" ht="15" hidden="false" customHeight="false" outlineLevel="0" collapsed="false">
      <c r="A22" s="18" t="n">
        <f aca="false">EDATE(Setup!$B$8,17)</f>
        <v>46844</v>
      </c>
      <c r="B22" s="7" t="n">
        <v>1043</v>
      </c>
      <c r="C22" s="7" t="n">
        <v>367</v>
      </c>
      <c r="D22" s="7" t="n">
        <v>438</v>
      </c>
      <c r="E22" s="8"/>
      <c r="F22" s="19" t="n">
        <f aca="false">Setup!$B$4*Setup!$B$5*INDEX(Setup!$E$17:$E$28,MONTH(A22))*(1-Setup!$B$11)^INT(17/12)</f>
        <v>1042.56198607718</v>
      </c>
      <c r="G22" s="20" t="n">
        <f aca="false">IF(B22="","",B22/F22)</f>
        <v>1.00042013225944</v>
      </c>
      <c r="H22" s="19" t="n">
        <f aca="false">IF(ROW()-12&lt;5,"",IF(INDEX(B:B,ROW()-12)="","",INDEX(B:B,ROW()-12)))</f>
        <v>1047</v>
      </c>
      <c r="I22" s="21" t="n">
        <f aca="false">IF(OR(B22="",H22=""),"",B22/H22-1)</f>
        <v>-0.00382043935052534</v>
      </c>
      <c r="J22" s="19" t="n">
        <f aca="false">IF(B22="","",(B22-N(D22))*Setup!$B$9+N(D22)*Setup!$B$10)</f>
        <v>2317.15</v>
      </c>
      <c r="K22" s="22" t="str">
        <f aca="false">IF(B22="","",IF(G22&lt;0.9,"CHECK: "&amp;TEXT(1-G22,"0%")&amp;" below expected",IF(AND(I22&lt;&gt;"",I22&lt;-0.15),"CHECK: "&amp;TEXT(-I22,"0%")&amp;" below last year","OK")))</f>
        <v>OK</v>
      </c>
    </row>
    <row r="23" customFormat="false" ht="15" hidden="false" customHeight="false" outlineLevel="0" collapsed="false">
      <c r="A23" s="18" t="n">
        <f aca="false">EDATE(Setup!$B$8,18)</f>
        <v>46874</v>
      </c>
      <c r="B23" s="7"/>
      <c r="C23" s="7"/>
      <c r="D23" s="7"/>
      <c r="E23" s="8"/>
      <c r="F23" s="19" t="n">
        <f aca="false">Setup!$B$4*Setup!$B$5*INDEX(Setup!$E$17:$E$28,MONTH(A23))*(1-Setup!$B$11)^INT(18/12)</f>
        <v>943.985754350984</v>
      </c>
      <c r="G23" s="20" t="str">
        <f aca="false">IF(B23="","",B23/F23)</f>
        <v/>
      </c>
      <c r="H23" s="19" t="n">
        <f aca="false">IF(ROW()-12&lt;5,"",IF(INDEX(B:B,ROW()-12)="","",INDEX(B:B,ROW()-12)))</f>
        <v>910</v>
      </c>
      <c r="I23" s="21" t="str">
        <f aca="false">IF(OR(B23="",H23=""),"",B23/H23-1)</f>
        <v/>
      </c>
      <c r="J23" s="19" t="str">
        <f aca="false">IF(B23="","",(B23-N(D23))*Setup!$B$9+N(D23)*Setup!$B$10)</f>
        <v/>
      </c>
      <c r="K23" s="22" t="str">
        <f aca="false">IF(B23="","",IF(G23&lt;0.9,"CHECK: "&amp;TEXT(1-G23,"0%")&amp;" below expected",IF(AND(I23&lt;&gt;"",I23&lt;-0.15),"CHECK: "&amp;TEXT(-I23,"0%")&amp;" below last year","OK")))</f>
        <v/>
      </c>
    </row>
    <row r="24" customFormat="false" ht="15" hidden="false" customHeight="false" outlineLevel="0" collapsed="false">
      <c r="A24" s="18" t="n">
        <f aca="false">EDATE(Setup!$B$8,19)</f>
        <v>46905</v>
      </c>
      <c r="B24" s="7"/>
      <c r="C24" s="7"/>
      <c r="D24" s="7"/>
      <c r="E24" s="8"/>
      <c r="F24" s="19" t="n">
        <f aca="false">Setup!$B$4*Setup!$B$5*INDEX(Setup!$E$17:$E$28,MONTH(A24))*(1-Setup!$B$11)^INT(19/12)</f>
        <v>887.072740428165</v>
      </c>
      <c r="G24" s="20" t="str">
        <f aca="false">IF(B24="","",B24/F24)</f>
        <v/>
      </c>
      <c r="H24" s="19" t="n">
        <f aca="false">IF(ROW()-12&lt;5,"",IF(INDEX(B:B,ROW()-12)="","",INDEX(B:B,ROW()-12)))</f>
        <v>859</v>
      </c>
      <c r="I24" s="21" t="str">
        <f aca="false">IF(OR(B24="",H24=""),"",B24/H24-1)</f>
        <v/>
      </c>
      <c r="J24" s="19" t="str">
        <f aca="false">IF(B24="","",(B24-N(D24))*Setup!$B$9+N(D24)*Setup!$B$10)</f>
        <v/>
      </c>
      <c r="K24" s="22" t="str">
        <f aca="false">IF(B24="","",IF(G24&lt;0.9,"CHECK: "&amp;TEXT(1-G24,"0%")&amp;" below expected",IF(AND(I24&lt;&gt;"",I24&lt;-0.15),"CHECK: "&amp;TEXT(-I24,"0%")&amp;" below last year","OK")))</f>
        <v/>
      </c>
    </row>
    <row r="25" customFormat="false" ht="15" hidden="false" customHeight="false" outlineLevel="0" collapsed="false">
      <c r="A25" s="18" t="n">
        <f aca="false">EDATE(Setup!$B$8,20)</f>
        <v>46935</v>
      </c>
      <c r="B25" s="7"/>
      <c r="C25" s="7"/>
      <c r="D25" s="7"/>
      <c r="E25" s="8"/>
      <c r="F25" s="19" t="n">
        <f aca="false">Setup!$B$4*Setup!$B$5*INDEX(Setup!$E$17:$E$28,MONTH(A25))*(1-Setup!$B$11)^INT(20/12)</f>
        <v>887.072740428165</v>
      </c>
      <c r="G25" s="20" t="str">
        <f aca="false">IF(B25="","",B25/F25)</f>
        <v/>
      </c>
      <c r="H25" s="19" t="n">
        <f aca="false">IF(ROW()-12&lt;5,"",IF(INDEX(B:B,ROW()-12)="","",INDEX(B:B,ROW()-12)))</f>
        <v>919</v>
      </c>
      <c r="I25" s="21" t="str">
        <f aca="false">IF(OR(B25="",H25=""),"",B25/H25-1)</f>
        <v/>
      </c>
      <c r="J25" s="19" t="str">
        <f aca="false">IF(B25="","",(B25-N(D25))*Setup!$B$9+N(D25)*Setup!$B$10)</f>
        <v/>
      </c>
      <c r="K25" s="22" t="str">
        <f aca="false">IF(B25="","",IF(G25&lt;0.9,"CHECK: "&amp;TEXT(1-G25,"0%")&amp;" below expected",IF(AND(I25&lt;&gt;"",I25&lt;-0.15),"CHECK: "&amp;TEXT(-I25,"0%")&amp;" below last year","OK")))</f>
        <v/>
      </c>
    </row>
    <row r="26" customFormat="false" ht="15" hidden="false" customHeight="false" outlineLevel="0" collapsed="false">
      <c r="A26" s="18" t="n">
        <f aca="false">EDATE(Setup!$B$8,21)</f>
        <v>46966</v>
      </c>
      <c r="B26" s="7"/>
      <c r="C26" s="7"/>
      <c r="D26" s="7"/>
      <c r="E26" s="8"/>
      <c r="F26" s="19" t="n">
        <f aca="false">Setup!$B$4*Setup!$B$5*INDEX(Setup!$E$17:$E$28,MONTH(A26))*(1-Setup!$B$11)^INT(21/12)</f>
        <v>943.985754350984</v>
      </c>
      <c r="G26" s="20" t="str">
        <f aca="false">IF(B26="","",B26/F26)</f>
        <v/>
      </c>
      <c r="H26" s="19" t="n">
        <f aca="false">IF(ROW()-12&lt;5,"",IF(INDEX(B:B,ROW()-12)="","",INDEX(B:B,ROW()-12)))</f>
        <v>740</v>
      </c>
      <c r="I26" s="21" t="str">
        <f aca="false">IF(OR(B26="",H26=""),"",B26/H26-1)</f>
        <v/>
      </c>
      <c r="J26" s="19" t="str">
        <f aca="false">IF(B26="","",(B26-N(D26))*Setup!$B$9+N(D26)*Setup!$B$10)</f>
        <v/>
      </c>
      <c r="K26" s="22" t="str">
        <f aca="false">IF(B26="","",IF(G26&lt;0.9,"CHECK: "&amp;TEXT(1-G26,"0%")&amp;" below expected",IF(AND(I26&lt;&gt;"",I26&lt;-0.15),"CHECK: "&amp;TEXT(-I26,"0%")&amp;" below last year","OK")))</f>
        <v/>
      </c>
    </row>
    <row r="27" customFormat="false" ht="15" hidden="false" customHeight="false" outlineLevel="0" collapsed="false">
      <c r="A27" s="18" t="n">
        <f aca="false">EDATE(Setup!$B$8,22)</f>
        <v>46997</v>
      </c>
      <c r="B27" s="7"/>
      <c r="C27" s="7"/>
      <c r="D27" s="7"/>
      <c r="E27" s="8"/>
      <c r="F27" s="19" t="n">
        <f aca="false">Setup!$B$4*Setup!$B$5*INDEX(Setup!$E$17:$E$28,MONTH(A27))*(1-Setup!$B$11)^INT(22/12)</f>
        <v>1042.56198607718</v>
      </c>
      <c r="G27" s="20" t="str">
        <f aca="false">IF(B27="","",B27/F27)</f>
        <v/>
      </c>
      <c r="H27" s="19" t="n">
        <f aca="false">IF(ROW()-12&lt;5,"",IF(INDEX(B:B,ROW()-12)="","",INDEX(B:B,ROW()-12)))</f>
        <v>1048</v>
      </c>
      <c r="I27" s="21" t="str">
        <f aca="false">IF(OR(B27="",H27=""),"",B27/H27-1)</f>
        <v/>
      </c>
      <c r="J27" s="19" t="str">
        <f aca="false">IF(B27="","",(B27-N(D27))*Setup!$B$9+N(D27)*Setup!$B$10)</f>
        <v/>
      </c>
      <c r="K27" s="22" t="str">
        <f aca="false">IF(B27="","",IF(G27&lt;0.9,"CHECK: "&amp;TEXT(1-G27,"0%")&amp;" below expected",IF(AND(I27&lt;&gt;"",I27&lt;-0.15),"CHECK: "&amp;TEXT(-I27,"0%")&amp;" below last year","OK")))</f>
        <v/>
      </c>
    </row>
    <row r="28" customFormat="false" ht="15" hidden="false" customHeight="false" outlineLevel="0" collapsed="false">
      <c r="A28" s="18" t="n">
        <f aca="false">EDATE(Setup!$B$8,23)</f>
        <v>47027</v>
      </c>
      <c r="B28" s="7"/>
      <c r="C28" s="7"/>
      <c r="D28" s="7"/>
      <c r="E28" s="8"/>
      <c r="F28" s="19" t="n">
        <f aca="false">Setup!$B$4*Setup!$B$5*INDEX(Setup!$E$17:$E$28,MONTH(A28))*(1-Setup!$B$11)^INT(23/12)</f>
        <v>1156.38801392282</v>
      </c>
      <c r="G28" s="20" t="str">
        <f aca="false">IF(B28="","",B28/F28)</f>
        <v/>
      </c>
      <c r="H28" s="19" t="n">
        <f aca="false">IF(ROW()-12&lt;5,"",IF(INDEX(B:B,ROW()-12)="","",INDEX(B:B,ROW()-12)))</f>
        <v>1186</v>
      </c>
      <c r="I28" s="21" t="str">
        <f aca="false">IF(OR(B28="",H28=""),"",B28/H28-1)</f>
        <v/>
      </c>
      <c r="J28" s="19" t="str">
        <f aca="false">IF(B28="","",(B28-N(D28))*Setup!$B$9+N(D28)*Setup!$B$10)</f>
        <v/>
      </c>
      <c r="K28" s="22" t="str">
        <f aca="false">IF(B28="","",IF(G28&lt;0.9,"CHECK: "&amp;TEXT(1-G28,"0%")&amp;" below expected",IF(AND(I28&lt;&gt;"",I28&lt;-0.15),"CHECK: "&amp;TEXT(-I28,"0%")&amp;" below last year","OK")))</f>
        <v/>
      </c>
    </row>
    <row r="29" customFormat="false" ht="15" hidden="false" customHeight="false" outlineLevel="0" collapsed="false">
      <c r="A29" s="18" t="n">
        <f aca="false">EDATE(Setup!$B$8,24)</f>
        <v>47058</v>
      </c>
      <c r="B29" s="7"/>
      <c r="C29" s="7"/>
      <c r="D29" s="7"/>
      <c r="E29" s="8"/>
      <c r="F29" s="19" t="n">
        <f aca="false">Setup!$B$4*Setup!$B$5*INDEX(Setup!$E$17:$E$28,MONTH(A29))*(1-Setup!$B$11)^INT(24/12)</f>
        <v>1248.68942442077</v>
      </c>
      <c r="G29" s="20" t="str">
        <f aca="false">IF(B29="","",B29/F29)</f>
        <v/>
      </c>
      <c r="H29" s="19" t="n">
        <f aca="false">IF(ROW()-12&lt;5,"",IF(INDEX(B:B,ROW()-12)="","",INDEX(B:B,ROW()-12)))</f>
        <v>1301</v>
      </c>
      <c r="I29" s="21" t="str">
        <f aca="false">IF(OR(B29="",H29=""),"",B29/H29-1)</f>
        <v/>
      </c>
      <c r="J29" s="19" t="str">
        <f aca="false">IF(B29="","",(B29-N(D29))*Setup!$B$9+N(D29)*Setup!$B$10)</f>
        <v/>
      </c>
      <c r="K29" s="22" t="str">
        <f aca="false">IF(B29="","",IF(G29&lt;0.9,"CHECK: "&amp;TEXT(1-G29,"0%")&amp;" below expected",IF(AND(I29&lt;&gt;"",I29&lt;-0.15),"CHECK: "&amp;TEXT(-I29,"0%")&amp;" below last year","OK")))</f>
        <v/>
      </c>
    </row>
    <row r="30" customFormat="false" ht="15" hidden="false" customHeight="false" outlineLevel="0" collapsed="false">
      <c r="A30" s="18" t="n">
        <f aca="false">EDATE(Setup!$B$8,25)</f>
        <v>47088</v>
      </c>
      <c r="B30" s="7"/>
      <c r="C30" s="7"/>
      <c r="D30" s="7"/>
      <c r="E30" s="8"/>
      <c r="F30" s="19" t="n">
        <f aca="false">Setup!$B$4*Setup!$B$5*INDEX(Setup!$E$17:$E$28,MONTH(A30))*(1-Setup!$B$11)^INT(25/12)</f>
        <v>1305.31787327398</v>
      </c>
      <c r="G30" s="20" t="str">
        <f aca="false">IF(B30="","",B30/F30)</f>
        <v/>
      </c>
      <c r="H30" s="19" t="n">
        <f aca="false">IF(ROW()-12&lt;5,"",IF(INDEX(B:B,ROW()-12)="","",INDEX(B:B,ROW()-12)))</f>
        <v>1321</v>
      </c>
      <c r="I30" s="21" t="str">
        <f aca="false">IF(OR(B30="",H30=""),"",B30/H30-1)</f>
        <v/>
      </c>
      <c r="J30" s="19" t="str">
        <f aca="false">IF(B30="","",(B30-N(D30))*Setup!$B$9+N(D30)*Setup!$B$10)</f>
        <v/>
      </c>
      <c r="K30" s="22" t="str">
        <f aca="false">IF(B30="","",IF(G30&lt;0.9,"CHECK: "&amp;TEXT(1-G30,"0%")&amp;" below expected",IF(AND(I30&lt;&gt;"",I30&lt;-0.15),"CHECK: "&amp;TEXT(-I30,"0%")&amp;" below last year","OK")))</f>
        <v/>
      </c>
    </row>
    <row r="31" customFormat="false" ht="15" hidden="false" customHeight="false" outlineLevel="0" collapsed="false">
      <c r="A31" s="18" t="n">
        <f aca="false">EDATE(Setup!$B$8,26)</f>
        <v>47119</v>
      </c>
      <c r="B31" s="7"/>
      <c r="C31" s="7"/>
      <c r="D31" s="7"/>
      <c r="E31" s="8"/>
      <c r="F31" s="19" t="n">
        <f aca="false">Setup!$B$4*Setup!$B$5*INDEX(Setup!$E$17:$E$28,MONTH(A31))*(1-Setup!$B$11)^INT(26/12)</f>
        <v>1305.31787327398</v>
      </c>
      <c r="G31" s="20" t="str">
        <f aca="false">IF(B31="","",B31/F31)</f>
        <v/>
      </c>
      <c r="H31" s="19" t="n">
        <f aca="false">IF(ROW()-12&lt;5,"",IF(INDEX(B:B,ROW()-12)="","",INDEX(B:B,ROW()-12)))</f>
        <v>1306</v>
      </c>
      <c r="I31" s="21" t="str">
        <f aca="false">IF(OR(B31="",H31=""),"",B31/H31-1)</f>
        <v/>
      </c>
      <c r="J31" s="19" t="str">
        <f aca="false">IF(B31="","",(B31-N(D31))*Setup!$B$9+N(D31)*Setup!$B$10)</f>
        <v/>
      </c>
      <c r="K31" s="22" t="str">
        <f aca="false">IF(B31="","",IF(G31&lt;0.9,"CHECK: "&amp;TEXT(1-G31,"0%")&amp;" below expected",IF(AND(I31&lt;&gt;"",I31&lt;-0.15),"CHECK: "&amp;TEXT(-I31,"0%")&amp;" below last year","OK")))</f>
        <v/>
      </c>
    </row>
    <row r="32" customFormat="false" ht="15" hidden="false" customHeight="false" outlineLevel="0" collapsed="false">
      <c r="A32" s="18" t="n">
        <f aca="false">EDATE(Setup!$B$8,27)</f>
        <v>47150</v>
      </c>
      <c r="B32" s="7"/>
      <c r="C32" s="7"/>
      <c r="D32" s="7"/>
      <c r="E32" s="8"/>
      <c r="F32" s="19" t="n">
        <f aca="false">Setup!$B$4*Setup!$B$5*INDEX(Setup!$E$17:$E$28,MONTH(A32))*(1-Setup!$B$11)^INT(27/12)</f>
        <v>1248.68942442077</v>
      </c>
      <c r="G32" s="20" t="str">
        <f aca="false">IF(B32="","",B32/F32)</f>
        <v/>
      </c>
      <c r="H32" s="19" t="n">
        <f aca="false">IF(ROW()-12&lt;5,"",IF(INDEX(B:B,ROW()-12)="","",INDEX(B:B,ROW()-12)))</f>
        <v>1245</v>
      </c>
      <c r="I32" s="21" t="str">
        <f aca="false">IF(OR(B32="",H32=""),"",B32/H32-1)</f>
        <v/>
      </c>
      <c r="J32" s="19" t="str">
        <f aca="false">IF(B32="","",(B32-N(D32))*Setup!$B$9+N(D32)*Setup!$B$10)</f>
        <v/>
      </c>
      <c r="K32" s="22" t="str">
        <f aca="false">IF(B32="","",IF(G32&lt;0.9,"CHECK: "&amp;TEXT(1-G32,"0%")&amp;" below expected",IF(AND(I32&lt;&gt;"",I32&lt;-0.15),"CHECK: "&amp;TEXT(-I32,"0%")&amp;" below last year","OK")))</f>
        <v/>
      </c>
    </row>
    <row r="33" customFormat="false" ht="15" hidden="false" customHeight="false" outlineLevel="0" collapsed="false">
      <c r="A33" s="18" t="n">
        <f aca="false">EDATE(Setup!$B$8,28)</f>
        <v>47178</v>
      </c>
      <c r="B33" s="7"/>
      <c r="C33" s="7"/>
      <c r="D33" s="7"/>
      <c r="E33" s="8"/>
      <c r="F33" s="19" t="n">
        <f aca="false">Setup!$B$4*Setup!$B$5*INDEX(Setup!$E$17:$E$28,MONTH(A33))*(1-Setup!$B$11)^INT(28/12)</f>
        <v>1150.6060738532</v>
      </c>
      <c r="G33" s="20" t="str">
        <f aca="false">IF(B33="","",B33/F33)</f>
        <v/>
      </c>
      <c r="H33" s="19" t="n">
        <f aca="false">IF(ROW()-12&lt;5,"",IF(INDEX(B:B,ROW()-12)="","",INDEX(B:B,ROW()-12)))</f>
        <v>1206</v>
      </c>
      <c r="I33" s="21" t="str">
        <f aca="false">IF(OR(B33="",H33=""),"",B33/H33-1)</f>
        <v/>
      </c>
      <c r="J33" s="19" t="str">
        <f aca="false">IF(B33="","",(B33-N(D33))*Setup!$B$9+N(D33)*Setup!$B$10)</f>
        <v/>
      </c>
      <c r="K33" s="22" t="str">
        <f aca="false">IF(B33="","",IF(G33&lt;0.9,"CHECK: "&amp;TEXT(1-G33,"0%")&amp;" below expected",IF(AND(I33&lt;&gt;"",I33&lt;-0.15),"CHECK: "&amp;TEXT(-I33,"0%")&amp;" below last year","OK")))</f>
        <v/>
      </c>
    </row>
    <row r="34" customFormat="false" ht="15" hidden="false" customHeight="false" outlineLevel="0" collapsed="false">
      <c r="A34" s="18" t="n">
        <f aca="false">EDATE(Setup!$B$8,29)</f>
        <v>47209</v>
      </c>
      <c r="B34" s="7"/>
      <c r="C34" s="7"/>
      <c r="D34" s="7"/>
      <c r="E34" s="8"/>
      <c r="F34" s="19" t="n">
        <f aca="false">Setup!$B$4*Setup!$B$5*INDEX(Setup!$E$17:$E$28,MONTH(A34))*(1-Setup!$B$11)^INT(29/12)</f>
        <v>1037.3491761468</v>
      </c>
      <c r="G34" s="20" t="str">
        <f aca="false">IF(B34="","",B34/F34)</f>
        <v/>
      </c>
      <c r="H34" s="19" t="n">
        <f aca="false">IF(ROW()-12&lt;5,"",IF(INDEX(B:B,ROW()-12)="","",INDEX(B:B,ROW()-12)))</f>
        <v>1043</v>
      </c>
      <c r="I34" s="21" t="str">
        <f aca="false">IF(OR(B34="",H34=""),"",B34/H34-1)</f>
        <v/>
      </c>
      <c r="J34" s="19" t="str">
        <f aca="false">IF(B34="","",(B34-N(D34))*Setup!$B$9+N(D34)*Setup!$B$10)</f>
        <v/>
      </c>
      <c r="K34" s="22" t="str">
        <f aca="false">IF(B34="","",IF(G34&lt;0.9,"CHECK: "&amp;TEXT(1-G34,"0%")&amp;" below expected",IF(AND(I34&lt;&gt;"",I34&lt;-0.15),"CHECK: "&amp;TEXT(-I34,"0%")&amp;" below last year","OK")))</f>
        <v/>
      </c>
    </row>
    <row r="35" customFormat="false" ht="15" hidden="false" customHeight="false" outlineLevel="0" collapsed="false">
      <c r="A35" s="18" t="n">
        <f aca="false">EDATE(Setup!$B$8,30)</f>
        <v>47239</v>
      </c>
      <c r="B35" s="7"/>
      <c r="C35" s="7"/>
      <c r="D35" s="7"/>
      <c r="E35" s="8"/>
      <c r="F35" s="19" t="n">
        <f aca="false">Setup!$B$4*Setup!$B$5*INDEX(Setup!$E$17:$E$28,MONTH(A35))*(1-Setup!$B$11)^INT(30/12)</f>
        <v>939.265825579229</v>
      </c>
      <c r="G35" s="20" t="str">
        <f aca="false">IF(B35="","",B35/F35)</f>
        <v/>
      </c>
      <c r="H35" s="19" t="str">
        <f aca="false">IF(ROW()-12&lt;5,"",IF(INDEX(B:B,ROW()-12)="","",INDEX(B:B,ROW()-12)))</f>
        <v/>
      </c>
      <c r="I35" s="21" t="str">
        <f aca="false">IF(OR(B35="",H35=""),"",B35/H35-1)</f>
        <v/>
      </c>
      <c r="J35" s="19" t="str">
        <f aca="false">IF(B35="","",(B35-N(D35))*Setup!$B$9+N(D35)*Setup!$B$10)</f>
        <v/>
      </c>
      <c r="K35" s="22" t="str">
        <f aca="false">IF(B35="","",IF(G35&lt;0.9,"CHECK: "&amp;TEXT(1-G35,"0%")&amp;" below expected",IF(AND(I35&lt;&gt;"",I35&lt;-0.15),"CHECK: "&amp;TEXT(-I35,"0%")&amp;" below last year","OK")))</f>
        <v/>
      </c>
    </row>
    <row r="36" customFormat="false" ht="15" hidden="false" customHeight="false" outlineLevel="0" collapsed="false">
      <c r="A36" s="18" t="n">
        <f aca="false">EDATE(Setup!$B$8,31)</f>
        <v>47270</v>
      </c>
      <c r="B36" s="7"/>
      <c r="C36" s="7"/>
      <c r="D36" s="7"/>
      <c r="E36" s="8"/>
      <c r="F36" s="19" t="n">
        <f aca="false">Setup!$B$4*Setup!$B$5*INDEX(Setup!$E$17:$E$28,MONTH(A36))*(1-Setup!$B$11)^INT(31/12)</f>
        <v>882.637376726025</v>
      </c>
      <c r="G36" s="20" t="str">
        <f aca="false">IF(B36="","",B36/F36)</f>
        <v/>
      </c>
      <c r="H36" s="19" t="str">
        <f aca="false">IF(ROW()-12&lt;5,"",IF(INDEX(B:B,ROW()-12)="","",INDEX(B:B,ROW()-12)))</f>
        <v/>
      </c>
      <c r="I36" s="21" t="str">
        <f aca="false">IF(OR(B36="",H36=""),"",B36/H36-1)</f>
        <v/>
      </c>
      <c r="J36" s="19" t="str">
        <f aca="false">IF(B36="","",(B36-N(D36))*Setup!$B$9+N(D36)*Setup!$B$10)</f>
        <v/>
      </c>
      <c r="K36" s="22" t="str">
        <f aca="false">IF(B36="","",IF(G36&lt;0.9,"CHECK: "&amp;TEXT(1-G36,"0%")&amp;" below expected",IF(AND(I36&lt;&gt;"",I36&lt;-0.15),"CHECK: "&amp;TEXT(-I36,"0%")&amp;" below last year","OK")))</f>
        <v/>
      </c>
    </row>
    <row r="37" customFormat="false" ht="15" hidden="false" customHeight="false" outlineLevel="0" collapsed="false">
      <c r="A37" s="18" t="n">
        <f aca="false">EDATE(Setup!$B$8,32)</f>
        <v>47300</v>
      </c>
      <c r="B37" s="7"/>
      <c r="C37" s="7"/>
      <c r="D37" s="7"/>
      <c r="E37" s="8"/>
      <c r="F37" s="19" t="n">
        <f aca="false">Setup!$B$4*Setup!$B$5*INDEX(Setup!$E$17:$E$28,MONTH(A37))*(1-Setup!$B$11)^INT(32/12)</f>
        <v>882.637376726024</v>
      </c>
      <c r="G37" s="20" t="str">
        <f aca="false">IF(B37="","",B37/F37)</f>
        <v/>
      </c>
      <c r="H37" s="19" t="str">
        <f aca="false">IF(ROW()-12&lt;5,"",IF(INDEX(B:B,ROW()-12)="","",INDEX(B:B,ROW()-12)))</f>
        <v/>
      </c>
      <c r="I37" s="21" t="str">
        <f aca="false">IF(OR(B37="",H37=""),"",B37/H37-1)</f>
        <v/>
      </c>
      <c r="J37" s="19" t="str">
        <f aca="false">IF(B37="","",(B37-N(D37))*Setup!$B$9+N(D37)*Setup!$B$10)</f>
        <v/>
      </c>
      <c r="K37" s="22" t="str">
        <f aca="false">IF(B37="","",IF(G37&lt;0.9,"CHECK: "&amp;TEXT(1-G37,"0%")&amp;" below expected",IF(AND(I37&lt;&gt;"",I37&lt;-0.15),"CHECK: "&amp;TEXT(-I37,"0%")&amp;" below last year","OK")))</f>
        <v/>
      </c>
    </row>
    <row r="38" customFormat="false" ht="15" hidden="false" customHeight="false" outlineLevel="0" collapsed="false">
      <c r="A38" s="18" t="n">
        <f aca="false">EDATE(Setup!$B$8,33)</f>
        <v>47331</v>
      </c>
      <c r="B38" s="7"/>
      <c r="C38" s="7"/>
      <c r="D38" s="7"/>
      <c r="E38" s="8"/>
      <c r="F38" s="19" t="n">
        <f aca="false">Setup!$B$4*Setup!$B$5*INDEX(Setup!$E$17:$E$28,MONTH(A38))*(1-Setup!$B$11)^INT(33/12)</f>
        <v>939.265825579229</v>
      </c>
      <c r="G38" s="20" t="str">
        <f aca="false">IF(B38="","",B38/F38)</f>
        <v/>
      </c>
      <c r="H38" s="19" t="str">
        <f aca="false">IF(ROW()-12&lt;5,"",IF(INDEX(B:B,ROW()-12)="","",INDEX(B:B,ROW()-12)))</f>
        <v/>
      </c>
      <c r="I38" s="21" t="str">
        <f aca="false">IF(OR(B38="",H38=""),"",B38/H38-1)</f>
        <v/>
      </c>
      <c r="J38" s="19" t="str">
        <f aca="false">IF(B38="","",(B38-N(D38))*Setup!$B$9+N(D38)*Setup!$B$10)</f>
        <v/>
      </c>
      <c r="K38" s="22" t="str">
        <f aca="false">IF(B38="","",IF(G38&lt;0.9,"CHECK: "&amp;TEXT(1-G38,"0%")&amp;" below expected",IF(AND(I38&lt;&gt;"",I38&lt;-0.15),"CHECK: "&amp;TEXT(-I38,"0%")&amp;" below last year","OK")))</f>
        <v/>
      </c>
    </row>
    <row r="39" customFormat="false" ht="15" hidden="false" customHeight="false" outlineLevel="0" collapsed="false">
      <c r="A39" s="18" t="n">
        <f aca="false">EDATE(Setup!$B$8,34)</f>
        <v>47362</v>
      </c>
      <c r="B39" s="7"/>
      <c r="C39" s="7"/>
      <c r="D39" s="7"/>
      <c r="E39" s="8"/>
      <c r="F39" s="19" t="n">
        <f aca="false">Setup!$B$4*Setup!$B$5*INDEX(Setup!$E$17:$E$28,MONTH(A39))*(1-Setup!$B$11)^INT(34/12)</f>
        <v>1037.3491761468</v>
      </c>
      <c r="G39" s="20" t="str">
        <f aca="false">IF(B39="","",B39/F39)</f>
        <v/>
      </c>
      <c r="H39" s="19" t="str">
        <f aca="false">IF(ROW()-12&lt;5,"",IF(INDEX(B:B,ROW()-12)="","",INDEX(B:B,ROW()-12)))</f>
        <v/>
      </c>
      <c r="I39" s="21" t="str">
        <f aca="false">IF(OR(B39="",H39=""),"",B39/H39-1)</f>
        <v/>
      </c>
      <c r="J39" s="19" t="str">
        <f aca="false">IF(B39="","",(B39-N(D39))*Setup!$B$9+N(D39)*Setup!$B$10)</f>
        <v/>
      </c>
      <c r="K39" s="22" t="str">
        <f aca="false">IF(B39="","",IF(G39&lt;0.9,"CHECK: "&amp;TEXT(1-G39,"0%")&amp;" below expected",IF(AND(I39&lt;&gt;"",I39&lt;-0.15),"CHECK: "&amp;TEXT(-I39,"0%")&amp;" below last year","OK")))</f>
        <v/>
      </c>
    </row>
    <row r="40" customFormat="false" ht="15" hidden="false" customHeight="false" outlineLevel="0" collapsed="false">
      <c r="A40" s="18" t="n">
        <f aca="false">EDATE(Setup!$B$8,35)</f>
        <v>47392</v>
      </c>
      <c r="B40" s="7"/>
      <c r="C40" s="7"/>
      <c r="D40" s="7"/>
      <c r="E40" s="8"/>
      <c r="F40" s="19" t="n">
        <f aca="false">Setup!$B$4*Setup!$B$5*INDEX(Setup!$E$17:$E$28,MONTH(A40))*(1-Setup!$B$11)^INT(35/12)</f>
        <v>1150.6060738532</v>
      </c>
      <c r="G40" s="20" t="str">
        <f aca="false">IF(B40="","",B40/F40)</f>
        <v/>
      </c>
      <c r="H40" s="19" t="str">
        <f aca="false">IF(ROW()-12&lt;5,"",IF(INDEX(B:B,ROW()-12)="","",INDEX(B:B,ROW()-12)))</f>
        <v/>
      </c>
      <c r="I40" s="21" t="str">
        <f aca="false">IF(OR(B40="",H40=""),"",B40/H40-1)</f>
        <v/>
      </c>
      <c r="J40" s="19" t="str">
        <f aca="false">IF(B40="","",(B40-N(D40))*Setup!$B$9+N(D40)*Setup!$B$10)</f>
        <v/>
      </c>
      <c r="K40" s="22" t="str">
        <f aca="false">IF(B40="","",IF(G40&lt;0.9,"CHECK: "&amp;TEXT(1-G40,"0%")&amp;" below expected",IF(AND(I40&lt;&gt;"",I40&lt;-0.15),"CHECK: "&amp;TEXT(-I40,"0%")&amp;" below last year","OK")))</f>
        <v/>
      </c>
    </row>
    <row r="41" customFormat="false" ht="15" hidden="false" customHeight="false" outlineLevel="0" collapsed="false">
      <c r="A41" s="18" t="n">
        <f aca="false">EDATE(Setup!$B$8,36)</f>
        <v>47423</v>
      </c>
      <c r="B41" s="7"/>
      <c r="C41" s="7"/>
      <c r="D41" s="7"/>
      <c r="E41" s="8"/>
      <c r="F41" s="19" t="n">
        <f aca="false">Setup!$B$4*Setup!$B$5*INDEX(Setup!$E$17:$E$28,MONTH(A41))*(1-Setup!$B$11)^INT(36/12)</f>
        <v>1242.44597729867</v>
      </c>
      <c r="G41" s="20" t="str">
        <f aca="false">IF(B41="","",B41/F41)</f>
        <v/>
      </c>
      <c r="H41" s="19" t="str">
        <f aca="false">IF(ROW()-12&lt;5,"",IF(INDEX(B:B,ROW()-12)="","",INDEX(B:B,ROW()-12)))</f>
        <v/>
      </c>
      <c r="I41" s="21" t="str">
        <f aca="false">IF(OR(B41="",H41=""),"",B41/H41-1)</f>
        <v/>
      </c>
      <c r="J41" s="19" t="str">
        <f aca="false">IF(B41="","",(B41-N(D41))*Setup!$B$9+N(D41)*Setup!$B$10)</f>
        <v/>
      </c>
      <c r="K41" s="22" t="str">
        <f aca="false">IF(B41="","",IF(G41&lt;0.9,"CHECK: "&amp;TEXT(1-G41,"0%")&amp;" below expected",IF(AND(I41&lt;&gt;"",I41&lt;-0.15),"CHECK: "&amp;TEXT(-I41,"0%")&amp;" below last year","OK")))</f>
        <v/>
      </c>
    </row>
    <row r="42" customFormat="false" ht="15" hidden="false" customHeight="false" outlineLevel="0" collapsed="false">
      <c r="A42" s="18" t="n">
        <f aca="false">EDATE(Setup!$B$8,37)</f>
        <v>47453</v>
      </c>
      <c r="B42" s="7"/>
      <c r="C42" s="7"/>
      <c r="D42" s="7"/>
      <c r="E42" s="8"/>
      <c r="F42" s="19" t="n">
        <f aca="false">Setup!$B$4*Setup!$B$5*INDEX(Setup!$E$17:$E$28,MONTH(A42))*(1-Setup!$B$11)^INT(37/12)</f>
        <v>1298.79128390761</v>
      </c>
      <c r="G42" s="20" t="str">
        <f aca="false">IF(B42="","",B42/F42)</f>
        <v/>
      </c>
      <c r="H42" s="19" t="str">
        <f aca="false">IF(ROW()-12&lt;5,"",IF(INDEX(B:B,ROW()-12)="","",INDEX(B:B,ROW()-12)))</f>
        <v/>
      </c>
      <c r="I42" s="21" t="str">
        <f aca="false">IF(OR(B42="",H42=""),"",B42/H42-1)</f>
        <v/>
      </c>
      <c r="J42" s="19" t="str">
        <f aca="false">IF(B42="","",(B42-N(D42))*Setup!$B$9+N(D42)*Setup!$B$10)</f>
        <v/>
      </c>
      <c r="K42" s="22" t="str">
        <f aca="false">IF(B42="","",IF(G42&lt;0.9,"CHECK: "&amp;TEXT(1-G42,"0%")&amp;" below expected",IF(AND(I42&lt;&gt;"",I42&lt;-0.15),"CHECK: "&amp;TEXT(-I42,"0%")&amp;" below last year","OK")))</f>
        <v/>
      </c>
    </row>
    <row r="43" customFormat="false" ht="15" hidden="false" customHeight="false" outlineLevel="0" collapsed="false">
      <c r="A43" s="18" t="n">
        <f aca="false">EDATE(Setup!$B$8,38)</f>
        <v>47484</v>
      </c>
      <c r="B43" s="7"/>
      <c r="C43" s="7"/>
      <c r="D43" s="7"/>
      <c r="E43" s="8"/>
      <c r="F43" s="19" t="n">
        <f aca="false">Setup!$B$4*Setup!$B$5*INDEX(Setup!$E$17:$E$28,MONTH(A43))*(1-Setup!$B$11)^INT(38/12)</f>
        <v>1298.79128390761</v>
      </c>
      <c r="G43" s="20" t="str">
        <f aca="false">IF(B43="","",B43/F43)</f>
        <v/>
      </c>
      <c r="H43" s="19" t="str">
        <f aca="false">IF(ROW()-12&lt;5,"",IF(INDEX(B:B,ROW()-12)="","",INDEX(B:B,ROW()-12)))</f>
        <v/>
      </c>
      <c r="I43" s="21" t="str">
        <f aca="false">IF(OR(B43="",H43=""),"",B43/H43-1)</f>
        <v/>
      </c>
      <c r="J43" s="19" t="str">
        <f aca="false">IF(B43="","",(B43-N(D43))*Setup!$B$9+N(D43)*Setup!$B$10)</f>
        <v/>
      </c>
      <c r="K43" s="22" t="str">
        <f aca="false">IF(B43="","",IF(G43&lt;0.9,"CHECK: "&amp;TEXT(1-G43,"0%")&amp;" below expected",IF(AND(I43&lt;&gt;"",I43&lt;-0.15),"CHECK: "&amp;TEXT(-I43,"0%")&amp;" below last year","OK")))</f>
        <v/>
      </c>
    </row>
    <row r="44" customFormat="false" ht="15" hidden="false" customHeight="false" outlineLevel="0" collapsed="false">
      <c r="A44" s="18" t="n">
        <f aca="false">EDATE(Setup!$B$8,39)</f>
        <v>47515</v>
      </c>
      <c r="B44" s="7"/>
      <c r="C44" s="7"/>
      <c r="D44" s="7"/>
      <c r="E44" s="8"/>
      <c r="F44" s="19" t="n">
        <f aca="false">Setup!$B$4*Setup!$B$5*INDEX(Setup!$E$17:$E$28,MONTH(A44))*(1-Setup!$B$11)^INT(39/12)</f>
        <v>1242.44597729867</v>
      </c>
      <c r="G44" s="20" t="str">
        <f aca="false">IF(B44="","",B44/F44)</f>
        <v/>
      </c>
      <c r="H44" s="19" t="str">
        <f aca="false">IF(ROW()-12&lt;5,"",IF(INDEX(B:B,ROW()-12)="","",INDEX(B:B,ROW()-12)))</f>
        <v/>
      </c>
      <c r="I44" s="21" t="str">
        <f aca="false">IF(OR(B44="",H44=""),"",B44/H44-1)</f>
        <v/>
      </c>
      <c r="J44" s="19" t="str">
        <f aca="false">IF(B44="","",(B44-N(D44))*Setup!$B$9+N(D44)*Setup!$B$10)</f>
        <v/>
      </c>
      <c r="K44" s="22" t="str">
        <f aca="false">IF(B44="","",IF(G44&lt;0.9,"CHECK: "&amp;TEXT(1-G44,"0%")&amp;" below expected",IF(AND(I44&lt;&gt;"",I44&lt;-0.15),"CHECK: "&amp;TEXT(-I44,"0%")&amp;" below last year","OK")))</f>
        <v/>
      </c>
    </row>
    <row r="45" customFormat="false" ht="15" hidden="false" customHeight="false" outlineLevel="0" collapsed="false">
      <c r="A45" s="18" t="n">
        <f aca="false">EDATE(Setup!$B$8,40)</f>
        <v>47543</v>
      </c>
      <c r="B45" s="7"/>
      <c r="C45" s="7"/>
      <c r="D45" s="7"/>
      <c r="E45" s="8"/>
      <c r="F45" s="19" t="n">
        <f aca="false">Setup!$B$4*Setup!$B$5*INDEX(Setup!$E$17:$E$28,MONTH(A45))*(1-Setup!$B$11)^INT(40/12)</f>
        <v>1144.85304348394</v>
      </c>
      <c r="G45" s="20" t="str">
        <f aca="false">IF(B45="","",B45/F45)</f>
        <v/>
      </c>
      <c r="H45" s="19" t="str">
        <f aca="false">IF(ROW()-12&lt;5,"",IF(INDEX(B:B,ROW()-12)="","",INDEX(B:B,ROW()-12)))</f>
        <v/>
      </c>
      <c r="I45" s="21" t="str">
        <f aca="false">IF(OR(B45="",H45=""),"",B45/H45-1)</f>
        <v/>
      </c>
      <c r="J45" s="19" t="str">
        <f aca="false">IF(B45="","",(B45-N(D45))*Setup!$B$9+N(D45)*Setup!$B$10)</f>
        <v/>
      </c>
      <c r="K45" s="22" t="str">
        <f aca="false">IF(B45="","",IF(G45&lt;0.9,"CHECK: "&amp;TEXT(1-G45,"0%")&amp;" below expected",IF(AND(I45&lt;&gt;"",I45&lt;-0.15),"CHECK: "&amp;TEXT(-I45,"0%")&amp;" below last year","OK")))</f>
        <v/>
      </c>
    </row>
    <row r="46" customFormat="false" ht="15" hidden="false" customHeight="false" outlineLevel="0" collapsed="false">
      <c r="A46" s="18" t="n">
        <f aca="false">EDATE(Setup!$B$8,41)</f>
        <v>47574</v>
      </c>
      <c r="B46" s="7"/>
      <c r="C46" s="7"/>
      <c r="D46" s="7"/>
      <c r="E46" s="8"/>
      <c r="F46" s="19" t="n">
        <f aca="false">Setup!$B$4*Setup!$B$5*INDEX(Setup!$E$17:$E$28,MONTH(A46))*(1-Setup!$B$11)^INT(41/12)</f>
        <v>1032.16243026606</v>
      </c>
      <c r="G46" s="20" t="str">
        <f aca="false">IF(B46="","",B46/F46)</f>
        <v/>
      </c>
      <c r="H46" s="19" t="str">
        <f aca="false">IF(ROW()-12&lt;5,"",IF(INDEX(B:B,ROW()-12)="","",INDEX(B:B,ROW()-12)))</f>
        <v/>
      </c>
      <c r="I46" s="21" t="str">
        <f aca="false">IF(OR(B46="",H46=""),"",B46/H46-1)</f>
        <v/>
      </c>
      <c r="J46" s="19" t="str">
        <f aca="false">IF(B46="","",(B46-N(D46))*Setup!$B$9+N(D46)*Setup!$B$10)</f>
        <v/>
      </c>
      <c r="K46" s="22" t="str">
        <f aca="false">IF(B46="","",IF(G46&lt;0.9,"CHECK: "&amp;TEXT(1-G46,"0%")&amp;" below expected",IF(AND(I46&lt;&gt;"",I46&lt;-0.15),"CHECK: "&amp;TEXT(-I46,"0%")&amp;" below last year","OK")))</f>
        <v/>
      </c>
    </row>
    <row r="47" customFormat="false" ht="15" hidden="false" customHeight="false" outlineLevel="0" collapsed="false">
      <c r="A47" s="18" t="n">
        <f aca="false">EDATE(Setup!$B$8,42)</f>
        <v>47604</v>
      </c>
      <c r="B47" s="7"/>
      <c r="C47" s="7"/>
      <c r="D47" s="7"/>
      <c r="E47" s="8"/>
      <c r="F47" s="19" t="n">
        <f aca="false">Setup!$B$4*Setup!$B$5*INDEX(Setup!$E$17:$E$28,MONTH(A47))*(1-Setup!$B$11)^INT(42/12)</f>
        <v>934.569496451333</v>
      </c>
      <c r="G47" s="20" t="str">
        <f aca="false">IF(B47="","",B47/F47)</f>
        <v/>
      </c>
      <c r="H47" s="19" t="str">
        <f aca="false">IF(ROW()-12&lt;5,"",IF(INDEX(B:B,ROW()-12)="","",INDEX(B:B,ROW()-12)))</f>
        <v/>
      </c>
      <c r="I47" s="21" t="str">
        <f aca="false">IF(OR(B47="",H47=""),"",B47/H47-1)</f>
        <v/>
      </c>
      <c r="J47" s="19" t="str">
        <f aca="false">IF(B47="","",(B47-N(D47))*Setup!$B$9+N(D47)*Setup!$B$10)</f>
        <v/>
      </c>
      <c r="K47" s="22" t="str">
        <f aca="false">IF(B47="","",IF(G47&lt;0.9,"CHECK: "&amp;TEXT(1-G47,"0%")&amp;" below expected",IF(AND(I47&lt;&gt;"",I47&lt;-0.15),"CHECK: "&amp;TEXT(-I47,"0%")&amp;" below last year","OK")))</f>
        <v/>
      </c>
    </row>
    <row r="48" customFormat="false" ht="15" hidden="false" customHeight="false" outlineLevel="0" collapsed="false">
      <c r="A48" s="18" t="n">
        <f aca="false">EDATE(Setup!$B$8,43)</f>
        <v>47635</v>
      </c>
      <c r="B48" s="7"/>
      <c r="C48" s="7"/>
      <c r="D48" s="7"/>
      <c r="E48" s="8"/>
      <c r="F48" s="19" t="n">
        <f aca="false">Setup!$B$4*Setup!$B$5*INDEX(Setup!$E$17:$E$28,MONTH(A48))*(1-Setup!$B$11)^INT(43/12)</f>
        <v>878.224189842394</v>
      </c>
      <c r="G48" s="20" t="str">
        <f aca="false">IF(B48="","",B48/F48)</f>
        <v/>
      </c>
      <c r="H48" s="19" t="str">
        <f aca="false">IF(ROW()-12&lt;5,"",IF(INDEX(B:B,ROW()-12)="","",INDEX(B:B,ROW()-12)))</f>
        <v/>
      </c>
      <c r="I48" s="21" t="str">
        <f aca="false">IF(OR(B48="",H48=""),"",B48/H48-1)</f>
        <v/>
      </c>
      <c r="J48" s="19" t="str">
        <f aca="false">IF(B48="","",(B48-N(D48))*Setup!$B$9+N(D48)*Setup!$B$10)</f>
        <v/>
      </c>
      <c r="K48" s="22" t="str">
        <f aca="false">IF(B48="","",IF(G48&lt;0.9,"CHECK: "&amp;TEXT(1-G48,"0%")&amp;" below expected",IF(AND(I48&lt;&gt;"",I48&lt;-0.15),"CHECK: "&amp;TEXT(-I48,"0%")&amp;" below last year","OK")))</f>
        <v/>
      </c>
    </row>
    <row r="49" customFormat="false" ht="15" hidden="false" customHeight="false" outlineLevel="0" collapsed="false">
      <c r="A49" s="18" t="n">
        <f aca="false">EDATE(Setup!$B$8,44)</f>
        <v>47665</v>
      </c>
      <c r="B49" s="7"/>
      <c r="C49" s="7"/>
      <c r="D49" s="7"/>
      <c r="E49" s="8"/>
      <c r="F49" s="19" t="n">
        <f aca="false">Setup!$B$4*Setup!$B$5*INDEX(Setup!$E$17:$E$28,MONTH(A49))*(1-Setup!$B$11)^INT(44/12)</f>
        <v>878.224189842394</v>
      </c>
      <c r="G49" s="20" t="str">
        <f aca="false">IF(B49="","",B49/F49)</f>
        <v/>
      </c>
      <c r="H49" s="19" t="str">
        <f aca="false">IF(ROW()-12&lt;5,"",IF(INDEX(B:B,ROW()-12)="","",INDEX(B:B,ROW()-12)))</f>
        <v/>
      </c>
      <c r="I49" s="21" t="str">
        <f aca="false">IF(OR(B49="",H49=""),"",B49/H49-1)</f>
        <v/>
      </c>
      <c r="J49" s="19" t="str">
        <f aca="false">IF(B49="","",(B49-N(D49))*Setup!$B$9+N(D49)*Setup!$B$10)</f>
        <v/>
      </c>
      <c r="K49" s="22" t="str">
        <f aca="false">IF(B49="","",IF(G49&lt;0.9,"CHECK: "&amp;TEXT(1-G49,"0%")&amp;" below expected",IF(AND(I49&lt;&gt;"",I49&lt;-0.15),"CHECK: "&amp;TEXT(-I49,"0%")&amp;" below last year","OK")))</f>
        <v/>
      </c>
    </row>
    <row r="50" customFormat="false" ht="15" hidden="false" customHeight="false" outlineLevel="0" collapsed="false">
      <c r="A50" s="18" t="n">
        <f aca="false">EDATE(Setup!$B$8,45)</f>
        <v>47696</v>
      </c>
      <c r="B50" s="7"/>
      <c r="C50" s="7"/>
      <c r="D50" s="7"/>
      <c r="E50" s="8"/>
      <c r="F50" s="19" t="n">
        <f aca="false">Setup!$B$4*Setup!$B$5*INDEX(Setup!$E$17:$E$28,MONTH(A50))*(1-Setup!$B$11)^INT(45/12)</f>
        <v>934.569496451333</v>
      </c>
      <c r="G50" s="20" t="str">
        <f aca="false">IF(B50="","",B50/F50)</f>
        <v/>
      </c>
      <c r="H50" s="19" t="str">
        <f aca="false">IF(ROW()-12&lt;5,"",IF(INDEX(B:B,ROW()-12)="","",INDEX(B:B,ROW()-12)))</f>
        <v/>
      </c>
      <c r="I50" s="21" t="str">
        <f aca="false">IF(OR(B50="",H50=""),"",B50/H50-1)</f>
        <v/>
      </c>
      <c r="J50" s="19" t="str">
        <f aca="false">IF(B50="","",(B50-N(D50))*Setup!$B$9+N(D50)*Setup!$B$10)</f>
        <v/>
      </c>
      <c r="K50" s="22" t="str">
        <f aca="false">IF(B50="","",IF(G50&lt;0.9,"CHECK: "&amp;TEXT(1-G50,"0%")&amp;" below expected",IF(AND(I50&lt;&gt;"",I50&lt;-0.15),"CHECK: "&amp;TEXT(-I50,"0%")&amp;" below last year","OK")))</f>
        <v/>
      </c>
    </row>
    <row r="51" customFormat="false" ht="15" hidden="false" customHeight="false" outlineLevel="0" collapsed="false">
      <c r="A51" s="18" t="n">
        <f aca="false">EDATE(Setup!$B$8,46)</f>
        <v>47727</v>
      </c>
      <c r="B51" s="7"/>
      <c r="C51" s="7"/>
      <c r="D51" s="7"/>
      <c r="E51" s="8"/>
      <c r="F51" s="19" t="n">
        <f aca="false">Setup!$B$4*Setup!$B$5*INDEX(Setup!$E$17:$E$28,MONTH(A51))*(1-Setup!$B$11)^INT(46/12)</f>
        <v>1032.16243026606</v>
      </c>
      <c r="G51" s="20" t="str">
        <f aca="false">IF(B51="","",B51/F51)</f>
        <v/>
      </c>
      <c r="H51" s="19" t="str">
        <f aca="false">IF(ROW()-12&lt;5,"",IF(INDEX(B:B,ROW()-12)="","",INDEX(B:B,ROW()-12)))</f>
        <v/>
      </c>
      <c r="I51" s="21" t="str">
        <f aca="false">IF(OR(B51="",H51=""),"",B51/H51-1)</f>
        <v/>
      </c>
      <c r="J51" s="19" t="str">
        <f aca="false">IF(B51="","",(B51-N(D51))*Setup!$B$9+N(D51)*Setup!$B$10)</f>
        <v/>
      </c>
      <c r="K51" s="22" t="str">
        <f aca="false">IF(B51="","",IF(G51&lt;0.9,"CHECK: "&amp;TEXT(1-G51,"0%")&amp;" below expected",IF(AND(I51&lt;&gt;"",I51&lt;-0.15),"CHECK: "&amp;TEXT(-I51,"0%")&amp;" below last year","OK")))</f>
        <v/>
      </c>
    </row>
    <row r="52" customFormat="false" ht="15" hidden="false" customHeight="false" outlineLevel="0" collapsed="false">
      <c r="A52" s="18" t="n">
        <f aca="false">EDATE(Setup!$B$8,47)</f>
        <v>47757</v>
      </c>
      <c r="B52" s="7"/>
      <c r="C52" s="7"/>
      <c r="D52" s="7"/>
      <c r="E52" s="8"/>
      <c r="F52" s="19" t="n">
        <f aca="false">Setup!$B$4*Setup!$B$5*INDEX(Setup!$E$17:$E$28,MONTH(A52))*(1-Setup!$B$11)^INT(47/12)</f>
        <v>1144.85304348394</v>
      </c>
      <c r="G52" s="20" t="str">
        <f aca="false">IF(B52="","",B52/F52)</f>
        <v/>
      </c>
      <c r="H52" s="19" t="str">
        <f aca="false">IF(ROW()-12&lt;5,"",IF(INDEX(B:B,ROW()-12)="","",INDEX(B:B,ROW()-12)))</f>
        <v/>
      </c>
      <c r="I52" s="21" t="str">
        <f aca="false">IF(OR(B52="",H52=""),"",B52/H52-1)</f>
        <v/>
      </c>
      <c r="J52" s="19" t="str">
        <f aca="false">IF(B52="","",(B52-N(D52))*Setup!$B$9+N(D52)*Setup!$B$10)</f>
        <v/>
      </c>
      <c r="K52" s="22" t="str">
        <f aca="false">IF(B52="","",IF(G52&lt;0.9,"CHECK: "&amp;TEXT(1-G52,"0%")&amp;" below expected",IF(AND(I52&lt;&gt;"",I52&lt;-0.15),"CHECK: "&amp;TEXT(-I52,"0%")&amp;" below last year","OK")))</f>
        <v/>
      </c>
    </row>
    <row r="53" customFormat="false" ht="15" hidden="false" customHeight="false" outlineLevel="0" collapsed="false">
      <c r="A53" s="18" t="n">
        <f aca="false">EDATE(Setup!$B$8,48)</f>
        <v>47788</v>
      </c>
      <c r="B53" s="7"/>
      <c r="C53" s="7"/>
      <c r="D53" s="7"/>
      <c r="E53" s="8"/>
      <c r="F53" s="19" t="n">
        <f aca="false">Setup!$B$4*Setup!$B$5*INDEX(Setup!$E$17:$E$28,MONTH(A53))*(1-Setup!$B$11)^INT(48/12)</f>
        <v>1236.23374741217</v>
      </c>
      <c r="G53" s="20" t="str">
        <f aca="false">IF(B53="","",B53/F53)</f>
        <v/>
      </c>
      <c r="H53" s="19" t="str">
        <f aca="false">IF(ROW()-12&lt;5,"",IF(INDEX(B:B,ROW()-12)="","",INDEX(B:B,ROW()-12)))</f>
        <v/>
      </c>
      <c r="I53" s="21" t="str">
        <f aca="false">IF(OR(B53="",H53=""),"",B53/H53-1)</f>
        <v/>
      </c>
      <c r="J53" s="19" t="str">
        <f aca="false">IF(B53="","",(B53-N(D53))*Setup!$B$9+N(D53)*Setup!$B$10)</f>
        <v/>
      </c>
      <c r="K53" s="22" t="str">
        <f aca="false">IF(B53="","",IF(G53&lt;0.9,"CHECK: "&amp;TEXT(1-G53,"0%")&amp;" below expected",IF(AND(I53&lt;&gt;"",I53&lt;-0.15),"CHECK: "&amp;TEXT(-I53,"0%")&amp;" below last year","OK")))</f>
        <v/>
      </c>
    </row>
    <row r="54" customFormat="false" ht="15" hidden="false" customHeight="false" outlineLevel="0" collapsed="false">
      <c r="A54" s="18" t="n">
        <f aca="false">EDATE(Setup!$B$8,49)</f>
        <v>47818</v>
      </c>
      <c r="B54" s="7"/>
      <c r="C54" s="7"/>
      <c r="D54" s="7"/>
      <c r="E54" s="8"/>
      <c r="F54" s="19" t="n">
        <f aca="false">Setup!$B$4*Setup!$B$5*INDEX(Setup!$E$17:$E$28,MONTH(A54))*(1-Setup!$B$11)^INT(49/12)</f>
        <v>1292.29732748807</v>
      </c>
      <c r="G54" s="20" t="str">
        <f aca="false">IF(B54="","",B54/F54)</f>
        <v/>
      </c>
      <c r="H54" s="19" t="str">
        <f aca="false">IF(ROW()-12&lt;5,"",IF(INDEX(B:B,ROW()-12)="","",INDEX(B:B,ROW()-12)))</f>
        <v/>
      </c>
      <c r="I54" s="21" t="str">
        <f aca="false">IF(OR(B54="",H54=""),"",B54/H54-1)</f>
        <v/>
      </c>
      <c r="J54" s="19" t="str">
        <f aca="false">IF(B54="","",(B54-N(D54))*Setup!$B$9+N(D54)*Setup!$B$10)</f>
        <v/>
      </c>
      <c r="K54" s="22" t="str">
        <f aca="false">IF(B54="","",IF(G54&lt;0.9,"CHECK: "&amp;TEXT(1-G54,"0%")&amp;" below expected",IF(AND(I54&lt;&gt;"",I54&lt;-0.15),"CHECK: "&amp;TEXT(-I54,"0%")&amp;" below last year","OK")))</f>
        <v/>
      </c>
    </row>
    <row r="55" customFormat="false" ht="15" hidden="false" customHeight="false" outlineLevel="0" collapsed="false">
      <c r="A55" s="18" t="n">
        <f aca="false">EDATE(Setup!$B$8,50)</f>
        <v>47849</v>
      </c>
      <c r="B55" s="7"/>
      <c r="C55" s="7"/>
      <c r="D55" s="7"/>
      <c r="E55" s="8"/>
      <c r="F55" s="19" t="n">
        <f aca="false">Setup!$B$4*Setup!$B$5*INDEX(Setup!$E$17:$E$28,MONTH(A55))*(1-Setup!$B$11)^INT(50/12)</f>
        <v>1292.29732748807</v>
      </c>
      <c r="G55" s="20" t="str">
        <f aca="false">IF(B55="","",B55/F55)</f>
        <v/>
      </c>
      <c r="H55" s="19" t="str">
        <f aca="false">IF(ROW()-12&lt;5,"",IF(INDEX(B:B,ROW()-12)="","",INDEX(B:B,ROW()-12)))</f>
        <v/>
      </c>
      <c r="I55" s="21" t="str">
        <f aca="false">IF(OR(B55="",H55=""),"",B55/H55-1)</f>
        <v/>
      </c>
      <c r="J55" s="19" t="str">
        <f aca="false">IF(B55="","",(B55-N(D55))*Setup!$B$9+N(D55)*Setup!$B$10)</f>
        <v/>
      </c>
      <c r="K55" s="22" t="str">
        <f aca="false">IF(B55="","",IF(G55&lt;0.9,"CHECK: "&amp;TEXT(1-G55,"0%")&amp;" below expected",IF(AND(I55&lt;&gt;"",I55&lt;-0.15),"CHECK: "&amp;TEXT(-I55,"0%")&amp;" below last year","OK")))</f>
        <v/>
      </c>
    </row>
    <row r="56" customFormat="false" ht="15" hidden="false" customHeight="false" outlineLevel="0" collapsed="false">
      <c r="A56" s="18" t="n">
        <f aca="false">EDATE(Setup!$B$8,51)</f>
        <v>47880</v>
      </c>
      <c r="B56" s="7"/>
      <c r="C56" s="7"/>
      <c r="D56" s="7"/>
      <c r="E56" s="8"/>
      <c r="F56" s="19" t="n">
        <f aca="false">Setup!$B$4*Setup!$B$5*INDEX(Setup!$E$17:$E$28,MONTH(A56))*(1-Setup!$B$11)^INT(51/12)</f>
        <v>1236.23374741217</v>
      </c>
      <c r="G56" s="20" t="str">
        <f aca="false">IF(B56="","",B56/F56)</f>
        <v/>
      </c>
      <c r="H56" s="19" t="str">
        <f aca="false">IF(ROW()-12&lt;5,"",IF(INDEX(B:B,ROW()-12)="","",INDEX(B:B,ROW()-12)))</f>
        <v/>
      </c>
      <c r="I56" s="21" t="str">
        <f aca="false">IF(OR(B56="",H56=""),"",B56/H56-1)</f>
        <v/>
      </c>
      <c r="J56" s="19" t="str">
        <f aca="false">IF(B56="","",(B56-N(D56))*Setup!$B$9+N(D56)*Setup!$B$10)</f>
        <v/>
      </c>
      <c r="K56" s="22" t="str">
        <f aca="false">IF(B56="","",IF(G56&lt;0.9,"CHECK: "&amp;TEXT(1-G56,"0%")&amp;" below expected",IF(AND(I56&lt;&gt;"",I56&lt;-0.15),"CHECK: "&amp;TEXT(-I56,"0%")&amp;" below last year","OK")))</f>
        <v/>
      </c>
    </row>
    <row r="57" customFormat="false" ht="15" hidden="false" customHeight="false" outlineLevel="0" collapsed="false">
      <c r="A57" s="18" t="n">
        <f aca="false">EDATE(Setup!$B$8,52)</f>
        <v>47908</v>
      </c>
      <c r="B57" s="7"/>
      <c r="C57" s="7"/>
      <c r="D57" s="7"/>
      <c r="E57" s="8"/>
      <c r="F57" s="19" t="n">
        <f aca="false">Setup!$B$4*Setup!$B$5*INDEX(Setup!$E$17:$E$28,MONTH(A57))*(1-Setup!$B$11)^INT(52/12)</f>
        <v>1139.12877826652</v>
      </c>
      <c r="G57" s="20" t="str">
        <f aca="false">IF(B57="","",B57/F57)</f>
        <v/>
      </c>
      <c r="H57" s="19" t="str">
        <f aca="false">IF(ROW()-12&lt;5,"",IF(INDEX(B:B,ROW()-12)="","",INDEX(B:B,ROW()-12)))</f>
        <v/>
      </c>
      <c r="I57" s="21" t="str">
        <f aca="false">IF(OR(B57="",H57=""),"",B57/H57-1)</f>
        <v/>
      </c>
      <c r="J57" s="19" t="str">
        <f aca="false">IF(B57="","",(B57-N(D57))*Setup!$B$9+N(D57)*Setup!$B$10)</f>
        <v/>
      </c>
      <c r="K57" s="22" t="str">
        <f aca="false">IF(B57="","",IF(G57&lt;0.9,"CHECK: "&amp;TEXT(1-G57,"0%")&amp;" below expected",IF(AND(I57&lt;&gt;"",I57&lt;-0.15),"CHECK: "&amp;TEXT(-I57,"0%")&amp;" below last year","OK")))</f>
        <v/>
      </c>
    </row>
    <row r="58" customFormat="false" ht="15" hidden="false" customHeight="false" outlineLevel="0" collapsed="false">
      <c r="A58" s="18" t="n">
        <f aca="false">EDATE(Setup!$B$8,53)</f>
        <v>47939</v>
      </c>
      <c r="B58" s="7"/>
      <c r="C58" s="7"/>
      <c r="D58" s="7"/>
      <c r="E58" s="8"/>
      <c r="F58" s="19" t="n">
        <f aca="false">Setup!$B$4*Setup!$B$5*INDEX(Setup!$E$17:$E$28,MONTH(A58))*(1-Setup!$B$11)^INT(53/12)</f>
        <v>1027.00161811473</v>
      </c>
      <c r="G58" s="20" t="str">
        <f aca="false">IF(B58="","",B58/F58)</f>
        <v/>
      </c>
      <c r="H58" s="19" t="str">
        <f aca="false">IF(ROW()-12&lt;5,"",IF(INDEX(B:B,ROW()-12)="","",INDEX(B:B,ROW()-12)))</f>
        <v/>
      </c>
      <c r="I58" s="21" t="str">
        <f aca="false">IF(OR(B58="",H58=""),"",B58/H58-1)</f>
        <v/>
      </c>
      <c r="J58" s="19" t="str">
        <f aca="false">IF(B58="","",(B58-N(D58))*Setup!$B$9+N(D58)*Setup!$B$10)</f>
        <v/>
      </c>
      <c r="K58" s="22" t="str">
        <f aca="false">IF(B58="","",IF(G58&lt;0.9,"CHECK: "&amp;TEXT(1-G58,"0%")&amp;" below expected",IF(AND(I58&lt;&gt;"",I58&lt;-0.15),"CHECK: "&amp;TEXT(-I58,"0%")&amp;" below last year","OK")))</f>
        <v/>
      </c>
    </row>
    <row r="59" customFormat="false" ht="15" hidden="false" customHeight="false" outlineLevel="0" collapsed="false">
      <c r="A59" s="18" t="n">
        <f aca="false">EDATE(Setup!$B$8,54)</f>
        <v>47969</v>
      </c>
      <c r="B59" s="7"/>
      <c r="C59" s="7"/>
      <c r="D59" s="7"/>
      <c r="E59" s="8"/>
      <c r="F59" s="19" t="n">
        <f aca="false">Setup!$B$4*Setup!$B$5*INDEX(Setup!$E$17:$E$28,MONTH(A59))*(1-Setup!$B$11)^INT(54/12)</f>
        <v>929.896648969076</v>
      </c>
      <c r="G59" s="20" t="str">
        <f aca="false">IF(B59="","",B59/F59)</f>
        <v/>
      </c>
      <c r="H59" s="19" t="str">
        <f aca="false">IF(ROW()-12&lt;5,"",IF(INDEX(B:B,ROW()-12)="","",INDEX(B:B,ROW()-12)))</f>
        <v/>
      </c>
      <c r="I59" s="21" t="str">
        <f aca="false">IF(OR(B59="",H59=""),"",B59/H59-1)</f>
        <v/>
      </c>
      <c r="J59" s="19" t="str">
        <f aca="false">IF(B59="","",(B59-N(D59))*Setup!$B$9+N(D59)*Setup!$B$10)</f>
        <v/>
      </c>
      <c r="K59" s="22" t="str">
        <f aca="false">IF(B59="","",IF(G59&lt;0.9,"CHECK: "&amp;TEXT(1-G59,"0%")&amp;" below expected",IF(AND(I59&lt;&gt;"",I59&lt;-0.15),"CHECK: "&amp;TEXT(-I59,"0%")&amp;" below last year","OK")))</f>
        <v/>
      </c>
    </row>
    <row r="60" customFormat="false" ht="15" hidden="false" customHeight="false" outlineLevel="0" collapsed="false">
      <c r="A60" s="18" t="n">
        <f aca="false">EDATE(Setup!$B$8,55)</f>
        <v>48000</v>
      </c>
      <c r="B60" s="7"/>
      <c r="C60" s="7"/>
      <c r="D60" s="7"/>
      <c r="E60" s="8"/>
      <c r="F60" s="19" t="n">
        <f aca="false">Setup!$B$4*Setup!$B$5*INDEX(Setup!$E$17:$E$28,MONTH(A60))*(1-Setup!$B$11)^INT(55/12)</f>
        <v>873.833068893182</v>
      </c>
      <c r="G60" s="20" t="str">
        <f aca="false">IF(B60="","",B60/F60)</f>
        <v/>
      </c>
      <c r="H60" s="19" t="str">
        <f aca="false">IF(ROW()-12&lt;5,"",IF(INDEX(B:B,ROW()-12)="","",INDEX(B:B,ROW()-12)))</f>
        <v/>
      </c>
      <c r="I60" s="21" t="str">
        <f aca="false">IF(OR(B60="",H60=""),"",B60/H60-1)</f>
        <v/>
      </c>
      <c r="J60" s="19" t="str">
        <f aca="false">IF(B60="","",(B60-N(D60))*Setup!$B$9+N(D60)*Setup!$B$10)</f>
        <v/>
      </c>
      <c r="K60" s="22" t="str">
        <f aca="false">IF(B60="","",IF(G60&lt;0.9,"CHECK: "&amp;TEXT(1-G60,"0%")&amp;" below expected",IF(AND(I60&lt;&gt;"",I60&lt;-0.15),"CHECK: "&amp;TEXT(-I60,"0%")&amp;" below last year","OK")))</f>
        <v/>
      </c>
    </row>
    <row r="61" customFormat="false" ht="15" hidden="false" customHeight="false" outlineLevel="0" collapsed="false">
      <c r="A61" s="18" t="n">
        <f aca="false">EDATE(Setup!$B$8,56)</f>
        <v>48030</v>
      </c>
      <c r="B61" s="7"/>
      <c r="C61" s="7"/>
      <c r="D61" s="7"/>
      <c r="E61" s="8"/>
      <c r="F61" s="19" t="n">
        <f aca="false">Setup!$B$4*Setup!$B$5*INDEX(Setup!$E$17:$E$28,MONTH(A61))*(1-Setup!$B$11)^INT(56/12)</f>
        <v>873.833068893182</v>
      </c>
      <c r="G61" s="20" t="str">
        <f aca="false">IF(B61="","",B61/F61)</f>
        <v/>
      </c>
      <c r="H61" s="19" t="str">
        <f aca="false">IF(ROW()-12&lt;5,"",IF(INDEX(B:B,ROW()-12)="","",INDEX(B:B,ROW()-12)))</f>
        <v/>
      </c>
      <c r="I61" s="21" t="str">
        <f aca="false">IF(OR(B61="",H61=""),"",B61/H61-1)</f>
        <v/>
      </c>
      <c r="J61" s="19" t="str">
        <f aca="false">IF(B61="","",(B61-N(D61))*Setup!$B$9+N(D61)*Setup!$B$10)</f>
        <v/>
      </c>
      <c r="K61" s="22" t="str">
        <f aca="false">IF(B61="","",IF(G61&lt;0.9,"CHECK: "&amp;TEXT(1-G61,"0%")&amp;" below expected",IF(AND(I61&lt;&gt;"",I61&lt;-0.15),"CHECK: "&amp;TEXT(-I61,"0%")&amp;" below last year","OK")))</f>
        <v/>
      </c>
    </row>
    <row r="62" customFormat="false" ht="15" hidden="false" customHeight="false" outlineLevel="0" collapsed="false">
      <c r="A62" s="18" t="n">
        <f aca="false">EDATE(Setup!$B$8,57)</f>
        <v>48061</v>
      </c>
      <c r="B62" s="7"/>
      <c r="C62" s="7"/>
      <c r="D62" s="7"/>
      <c r="E62" s="8"/>
      <c r="F62" s="19" t="n">
        <f aca="false">Setup!$B$4*Setup!$B$5*INDEX(Setup!$E$17:$E$28,MONTH(A62))*(1-Setup!$B$11)^INT(57/12)</f>
        <v>929.896648969076</v>
      </c>
      <c r="G62" s="20" t="str">
        <f aca="false">IF(B62="","",B62/F62)</f>
        <v/>
      </c>
      <c r="H62" s="19" t="str">
        <f aca="false">IF(ROW()-12&lt;5,"",IF(INDEX(B:B,ROW()-12)="","",INDEX(B:B,ROW()-12)))</f>
        <v/>
      </c>
      <c r="I62" s="21" t="str">
        <f aca="false">IF(OR(B62="",H62=""),"",B62/H62-1)</f>
        <v/>
      </c>
      <c r="J62" s="19" t="str">
        <f aca="false">IF(B62="","",(B62-N(D62))*Setup!$B$9+N(D62)*Setup!$B$10)</f>
        <v/>
      </c>
      <c r="K62" s="22" t="str">
        <f aca="false">IF(B62="","",IF(G62&lt;0.9,"CHECK: "&amp;TEXT(1-G62,"0%")&amp;" below expected",IF(AND(I62&lt;&gt;"",I62&lt;-0.15),"CHECK: "&amp;TEXT(-I62,"0%")&amp;" below last year","OK")))</f>
        <v/>
      </c>
    </row>
    <row r="63" customFormat="false" ht="15" hidden="false" customHeight="false" outlineLevel="0" collapsed="false">
      <c r="A63" s="18" t="n">
        <f aca="false">EDATE(Setup!$B$8,58)</f>
        <v>48092</v>
      </c>
      <c r="B63" s="7"/>
      <c r="C63" s="7"/>
      <c r="D63" s="7"/>
      <c r="E63" s="8"/>
      <c r="F63" s="19" t="n">
        <f aca="false">Setup!$B$4*Setup!$B$5*INDEX(Setup!$E$17:$E$28,MONTH(A63))*(1-Setup!$B$11)^INT(58/12)</f>
        <v>1027.00161811473</v>
      </c>
      <c r="G63" s="20" t="str">
        <f aca="false">IF(B63="","",B63/F63)</f>
        <v/>
      </c>
      <c r="H63" s="19" t="str">
        <f aca="false">IF(ROW()-12&lt;5,"",IF(INDEX(B:B,ROW()-12)="","",INDEX(B:B,ROW()-12)))</f>
        <v/>
      </c>
      <c r="I63" s="21" t="str">
        <f aca="false">IF(OR(B63="",H63=""),"",B63/H63-1)</f>
        <v/>
      </c>
      <c r="J63" s="19" t="str">
        <f aca="false">IF(B63="","",(B63-N(D63))*Setup!$B$9+N(D63)*Setup!$B$10)</f>
        <v/>
      </c>
      <c r="K63" s="22" t="str">
        <f aca="false">IF(B63="","",IF(G63&lt;0.9,"CHECK: "&amp;TEXT(1-G63,"0%")&amp;" below expected",IF(AND(I63&lt;&gt;"",I63&lt;-0.15),"CHECK: "&amp;TEXT(-I63,"0%")&amp;" below last year","OK")))</f>
        <v/>
      </c>
    </row>
    <row r="64" customFormat="false" ht="15" hidden="false" customHeight="false" outlineLevel="0" collapsed="false">
      <c r="A64" s="18" t="n">
        <f aca="false">EDATE(Setup!$B$8,59)</f>
        <v>48122</v>
      </c>
      <c r="B64" s="7"/>
      <c r="C64" s="7"/>
      <c r="D64" s="7"/>
      <c r="E64" s="8"/>
      <c r="F64" s="19" t="n">
        <f aca="false">Setup!$B$4*Setup!$B$5*INDEX(Setup!$E$17:$E$28,MONTH(A64))*(1-Setup!$B$11)^INT(59/12)</f>
        <v>1139.12877826652</v>
      </c>
      <c r="G64" s="20" t="str">
        <f aca="false">IF(B64="","",B64/F64)</f>
        <v/>
      </c>
      <c r="H64" s="19" t="str">
        <f aca="false">IF(ROW()-12&lt;5,"",IF(INDEX(B:B,ROW()-12)="","",INDEX(B:B,ROW()-12)))</f>
        <v/>
      </c>
      <c r="I64" s="21" t="str">
        <f aca="false">IF(OR(B64="",H64=""),"",B64/H64-1)</f>
        <v/>
      </c>
      <c r="J64" s="19" t="str">
        <f aca="false">IF(B64="","",(B64-N(D64))*Setup!$B$9+N(D64)*Setup!$B$10)</f>
        <v/>
      </c>
      <c r="K64" s="22" t="str">
        <f aca="false">IF(B64="","",IF(G64&lt;0.9,"CHECK: "&amp;TEXT(1-G64,"0%")&amp;" below expected",IF(AND(I64&lt;&gt;"",I64&lt;-0.15),"CHECK: "&amp;TEXT(-I64,"0%")&amp;" below last year","OK")))</f>
        <v/>
      </c>
    </row>
    <row r="66" customFormat="false" ht="15" hidden="false" customHeight="false" outlineLevel="0" collapsed="false">
      <c r="A66" s="16" t="s">
        <v>57</v>
      </c>
      <c r="B66" s="23" t="n">
        <f aca="false">SUM(B5:B64)</f>
        <v>20283</v>
      </c>
      <c r="C66" s="23" t="n">
        <f aca="false">SUM(C5:C64)</f>
        <v>8007</v>
      </c>
      <c r="D66" s="23" t="n">
        <f aca="false">SUM(D5:D64)</f>
        <v>8520</v>
      </c>
      <c r="J66" s="23" t="n">
        <f aca="false">SUM(J5:J64)</f>
        <v>45052.29</v>
      </c>
    </row>
    <row r="67" customFormat="false" ht="15" hidden="false" customHeight="false" outlineLevel="0" collapsed="false">
      <c r="A67" s="16" t="s">
        <v>58</v>
      </c>
      <c r="B67" s="24" t="n">
        <f aca="false">COUNT(B5:B64)</f>
        <v>18</v>
      </c>
    </row>
    <row r="68" customFormat="false" ht="15" hidden="false" customHeight="false" outlineLevel="0" collapsed="false">
      <c r="A68" s="16" t="s">
        <v>59</v>
      </c>
      <c r="B68" s="24" t="n">
        <f aca="false">COUNTIF(K5:K64,"CHECK*")</f>
        <v>2</v>
      </c>
    </row>
  </sheetData>
  <conditionalFormatting sqref="K5:K64">
    <cfRule type="expression" priority="2" aboveAverage="0" equalAverage="0" bottom="0" percent="0" rank="0" text="" dxfId="0">
      <formula>LEFT(K5,2)="OK"</formula>
    </cfRule>
    <cfRule type="expression" priority="3" aboveAverage="0" equalAverage="0" bottom="0" percent="0" rank="0" text="" dxfId="1">
      <formula>OR(LEFT(K5,5)="CHECK",LEFT(K5,8)="DUE SOON")</formula>
    </cfRule>
    <cfRule type="expression" priority="4" aboveAverage="0" equalAverage="0" bottom="0" percent="0" rank="0" text="" dxfId="2">
      <formula>LEFT(K5,7)="OVERDUE"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3"/>
    <col collapsed="false" customWidth="true" hidden="false" outlineLevel="0" max="4" min="3" style="0" width="14"/>
    <col collapsed="false" customWidth="true" hidden="false" outlineLevel="0" max="5" min="5" style="0" width="22"/>
    <col collapsed="false" customWidth="true" hidden="false" outlineLevel="0" max="6" min="6" style="0" width="28"/>
    <col collapsed="false" customWidth="true" hidden="false" outlineLevel="0" max="7" min="7" style="0" width="4"/>
  </cols>
  <sheetData>
    <row r="1" customFormat="false" ht="19.7" hidden="false" customHeight="false" outlineLevel="0" collapsed="false">
      <c r="A1" s="1" t="s">
        <v>65</v>
      </c>
    </row>
    <row r="2" customFormat="false" ht="15" hidden="false" customHeight="false" outlineLevel="0" collapsed="false">
      <c r="A2" s="2" t="s">
        <v>66</v>
      </c>
    </row>
    <row r="4" customFormat="false" ht="39.75" hidden="false" customHeight="true" outlineLevel="0" collapsed="false">
      <c r="A4" s="13" t="s">
        <v>67</v>
      </c>
      <c r="B4" s="13" t="s">
        <v>68</v>
      </c>
      <c r="C4" s="13" t="s">
        <v>69</v>
      </c>
      <c r="D4" s="13" t="s">
        <v>70</v>
      </c>
      <c r="E4" s="13" t="s">
        <v>71</v>
      </c>
      <c r="F4" s="13" t="s">
        <v>72</v>
      </c>
    </row>
    <row r="5" customFormat="false" ht="15" hidden="false" customHeight="false" outlineLevel="0" collapsed="false">
      <c r="A5" s="25" t="s">
        <v>73</v>
      </c>
      <c r="B5" s="26" t="n">
        <v>1</v>
      </c>
      <c r="C5" s="27"/>
      <c r="D5" s="28" t="str">
        <f aca="false">IF(C5="","",EDATE(C5,B5))</f>
        <v/>
      </c>
      <c r="E5" s="22" t="str">
        <f aca="true">IF(C5="","Not recorded yet",IF(D5&lt;TODAY(),"OVERDUE by "&amp;(TODAY()-D5)&amp;" days",IF(D5-TODAY()&lt;=30,"DUE SOON ("&amp;TEXT(D5,"dd mmm")&amp;")","OK")))</f>
        <v>Not recorded yet</v>
      </c>
      <c r="F5" s="8"/>
    </row>
    <row r="6" customFormat="false" ht="28.35" hidden="false" customHeight="false" outlineLevel="0" collapsed="false">
      <c r="A6" s="25" t="s">
        <v>74</v>
      </c>
      <c r="B6" s="26" t="n">
        <v>1</v>
      </c>
      <c r="C6" s="27"/>
      <c r="D6" s="28" t="str">
        <f aca="false">IF(C6="","",EDATE(C6,B6))</f>
        <v/>
      </c>
      <c r="E6" s="22" t="str">
        <f aca="true">IF(C6="","Not recorded yet",IF(D6&lt;TODAY(),"OVERDUE by "&amp;(TODAY()-D6)&amp;" days",IF(D6-TODAY()&lt;=30,"DUE SOON ("&amp;TEXT(D6,"dd mmm")&amp;")","OK")))</f>
        <v>Not recorded yet</v>
      </c>
      <c r="F6" s="8"/>
    </row>
    <row r="7" customFormat="false" ht="28.35" hidden="false" customHeight="false" outlineLevel="0" collapsed="false">
      <c r="A7" s="25" t="s">
        <v>75</v>
      </c>
      <c r="B7" s="26" t="n">
        <v>6</v>
      </c>
      <c r="C7" s="27"/>
      <c r="D7" s="28" t="str">
        <f aca="false">IF(C7="","",EDATE(C7,B7))</f>
        <v/>
      </c>
      <c r="E7" s="22" t="str">
        <f aca="true">IF(C7="","Not recorded yet",IF(D7&lt;TODAY(),"OVERDUE by "&amp;(TODAY()-D7)&amp;" days",IF(D7-TODAY()&lt;=30,"DUE SOON ("&amp;TEXT(D7,"dd mmm")&amp;")","OK")))</f>
        <v>Not recorded yet</v>
      </c>
      <c r="F7" s="8"/>
    </row>
    <row r="8" customFormat="false" ht="15" hidden="false" customHeight="false" outlineLevel="0" collapsed="false">
      <c r="A8" s="25" t="s">
        <v>76</v>
      </c>
      <c r="B8" s="26" t="n">
        <v>6</v>
      </c>
      <c r="C8" s="27"/>
      <c r="D8" s="28" t="str">
        <f aca="false">IF(C8="","",EDATE(C8,B8))</f>
        <v/>
      </c>
      <c r="E8" s="22" t="str">
        <f aca="true">IF(C8="","Not recorded yet",IF(D8&lt;TODAY(),"OVERDUE by "&amp;(TODAY()-D8)&amp;" days",IF(D8-TODAY()&lt;=30,"DUE SOON ("&amp;TEXT(D8,"dd mmm")&amp;")","OK")))</f>
        <v>Not recorded yet</v>
      </c>
      <c r="F8" s="8"/>
    </row>
    <row r="9" customFormat="false" ht="15" hidden="false" customHeight="false" outlineLevel="0" collapsed="false">
      <c r="A9" s="25" t="s">
        <v>77</v>
      </c>
      <c r="B9" s="26" t="n">
        <v>6</v>
      </c>
      <c r="C9" s="27"/>
      <c r="D9" s="28" t="str">
        <f aca="false">IF(C9="","",EDATE(C9,B9))</f>
        <v/>
      </c>
      <c r="E9" s="22" t="str">
        <f aca="true">IF(C9="","Not recorded yet",IF(D9&lt;TODAY(),"OVERDUE by "&amp;(TODAY()-D9)&amp;" days",IF(D9-TODAY()&lt;=30,"DUE SOON ("&amp;TEXT(D9,"dd mmm")&amp;")","OK")))</f>
        <v>Not recorded yet</v>
      </c>
      <c r="F9" s="8"/>
    </row>
    <row r="10" customFormat="false" ht="28.35" hidden="false" customHeight="false" outlineLevel="0" collapsed="false">
      <c r="A10" s="25" t="s">
        <v>78</v>
      </c>
      <c r="B10" s="26" t="n">
        <v>12</v>
      </c>
      <c r="C10" s="27"/>
      <c r="D10" s="28" t="str">
        <f aca="false">IF(C10="","",EDATE(C10,B10))</f>
        <v/>
      </c>
      <c r="E10" s="22" t="str">
        <f aca="true">IF(C10="","Not recorded yet",IF(D10&lt;TODAY(),"OVERDUE by "&amp;(TODAY()-D10)&amp;" days",IF(D10-TODAY()&lt;=30,"DUE SOON ("&amp;TEXT(D10,"dd mmm")&amp;")","OK")))</f>
        <v>Not recorded yet</v>
      </c>
      <c r="F10" s="8"/>
    </row>
    <row r="11" customFormat="false" ht="15" hidden="false" customHeight="false" outlineLevel="0" collapsed="false">
      <c r="A11" s="25" t="s">
        <v>79</v>
      </c>
      <c r="B11" s="26" t="n">
        <v>12</v>
      </c>
      <c r="C11" s="27"/>
      <c r="D11" s="28" t="str">
        <f aca="false">IF(C11="","",EDATE(C11,B11))</f>
        <v/>
      </c>
      <c r="E11" s="22" t="str">
        <f aca="true">IF(C11="","Not recorded yet",IF(D11&lt;TODAY(),"OVERDUE by "&amp;(TODAY()-D11)&amp;" days",IF(D11-TODAY()&lt;=30,"DUE SOON ("&amp;TEXT(D11,"dd mmm")&amp;")","OK")))</f>
        <v>Not recorded yet</v>
      </c>
      <c r="F11" s="8"/>
    </row>
    <row r="12" customFormat="false" ht="15" hidden="false" customHeight="false" outlineLevel="0" collapsed="false">
      <c r="A12" s="25" t="s">
        <v>80</v>
      </c>
      <c r="B12" s="26" t="n">
        <v>12</v>
      </c>
      <c r="C12" s="27"/>
      <c r="D12" s="28" t="str">
        <f aca="false">IF(C12="","",EDATE(C12,B12))</f>
        <v/>
      </c>
      <c r="E12" s="22" t="str">
        <f aca="true">IF(C12="","Not recorded yet",IF(D12&lt;TODAY(),"OVERDUE by "&amp;(TODAY()-D12)&amp;" days",IF(D12-TODAY()&lt;=30,"DUE SOON ("&amp;TEXT(D12,"dd mmm")&amp;")","OK")))</f>
        <v>Not recorded yet</v>
      </c>
      <c r="F12" s="8"/>
    </row>
    <row r="13" customFormat="false" ht="28.35" hidden="false" customHeight="false" outlineLevel="0" collapsed="false">
      <c r="A13" s="25" t="s">
        <v>81</v>
      </c>
      <c r="B13" s="26" t="n">
        <v>12</v>
      </c>
      <c r="C13" s="27"/>
      <c r="D13" s="28" t="str">
        <f aca="false">IF(C13="","",EDATE(C13,B13))</f>
        <v/>
      </c>
      <c r="E13" s="22" t="str">
        <f aca="true">IF(C13="","Not recorded yet",IF(D13&lt;TODAY(),"OVERDUE by "&amp;(TODAY()-D13)&amp;" days",IF(D13-TODAY()&lt;=30,"DUE SOON ("&amp;TEXT(D13,"dd mmm")&amp;")","OK")))</f>
        <v>Not recorded yet</v>
      </c>
      <c r="F13" s="8"/>
    </row>
    <row r="14" customFormat="false" ht="28.35" hidden="false" customHeight="false" outlineLevel="0" collapsed="false">
      <c r="A14" s="25" t="s">
        <v>82</v>
      </c>
      <c r="B14" s="26" t="n">
        <v>30</v>
      </c>
      <c r="C14" s="27"/>
      <c r="D14" s="28" t="str">
        <f aca="false">IF(C14="","",EDATE(C14,B14))</f>
        <v/>
      </c>
      <c r="E14" s="22" t="str">
        <f aca="true">IF(C14="","Not recorded yet",IF(D14&lt;TODAY(),"OVERDUE by "&amp;(TODAY()-D14)&amp;" days",IF(D14-TODAY()&lt;=30,"DUE SOON ("&amp;TEXT(D14,"dd mmm")&amp;")","OK")))</f>
        <v>Not recorded yet</v>
      </c>
      <c r="F14" s="8"/>
    </row>
    <row r="15" customFormat="false" ht="28.35" hidden="false" customHeight="false" outlineLevel="0" collapsed="false">
      <c r="A15" s="25" t="s">
        <v>83</v>
      </c>
      <c r="B15" s="26" t="n">
        <v>30</v>
      </c>
      <c r="C15" s="27"/>
      <c r="D15" s="28" t="str">
        <f aca="false">IF(C15="","",EDATE(C15,B15))</f>
        <v/>
      </c>
      <c r="E15" s="22" t="str">
        <f aca="true">IF(C15="","Not recorded yet",IF(D15&lt;TODAY(),"OVERDUE by "&amp;(TODAY()-D15)&amp;" days",IF(D15-TODAY()&lt;=30,"DUE SOON ("&amp;TEXT(D15,"dd mmm")&amp;")","OK")))</f>
        <v>Not recorded yet</v>
      </c>
      <c r="F15" s="8"/>
    </row>
    <row r="16" customFormat="false" ht="15" hidden="false" customHeight="false" outlineLevel="0" collapsed="false">
      <c r="A16" s="25" t="s">
        <v>84</v>
      </c>
      <c r="B16" s="26" t="n">
        <v>30</v>
      </c>
      <c r="C16" s="27"/>
      <c r="D16" s="28" t="str">
        <f aca="false">IF(C16="","",EDATE(C16,B16))</f>
        <v/>
      </c>
      <c r="E16" s="22" t="str">
        <f aca="true">IF(C16="","Not recorded yet",IF(D16&lt;TODAY(),"OVERDUE by "&amp;(TODAY()-D16)&amp;" days",IF(D16-TODAY()&lt;=30,"DUE SOON ("&amp;TEXT(D16,"dd mmm")&amp;")","OK")))</f>
        <v>Not recorded yet</v>
      </c>
      <c r="F16" s="8"/>
    </row>
    <row r="18" customFormat="false" ht="15" hidden="false" customHeight="false" outlineLevel="0" collapsed="false">
      <c r="A18" s="2" t="s">
        <v>85</v>
      </c>
    </row>
    <row r="19" customFormat="false" ht="15" hidden="false" customHeight="false" outlineLevel="0" collapsed="false">
      <c r="A19" s="29" t="s">
        <v>86</v>
      </c>
    </row>
  </sheetData>
  <conditionalFormatting sqref="E5:E16">
    <cfRule type="expression" priority="2" aboveAverage="0" equalAverage="0" bottom="0" percent="0" rank="0" text="" dxfId="0">
      <formula>LEFT(E5,2)="OK"</formula>
    </cfRule>
    <cfRule type="expression" priority="3" aboveAverage="0" equalAverage="0" bottom="0" percent="0" rank="0" text="" dxfId="1">
      <formula>OR(LEFT(E5,5)="CHECK",LEFT(E5,8)="DUE SOON")</formula>
    </cfRule>
    <cfRule type="expression" priority="4" aboveAverage="0" equalAverage="0" bottom="0" percent="0" rank="0" text="" dxfId="2">
      <formula>LEFT(E5,7)="OVERDUE"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34"/>
    <col collapsed="false" customWidth="true" hidden="false" outlineLevel="0" max="5" min="5" style="0" width="20"/>
    <col collapsed="false" customWidth="true" hidden="false" outlineLevel="0" max="6" min="6" style="0" width="13"/>
    <col collapsed="false" customWidth="true" hidden="false" outlineLevel="0" max="7" min="7" style="0" width="12"/>
  </cols>
  <sheetData>
    <row r="1" customFormat="false" ht="19.7" hidden="false" customHeight="false" outlineLevel="0" collapsed="false">
      <c r="A1" s="1" t="s">
        <v>87</v>
      </c>
    </row>
    <row r="2" customFormat="false" ht="15" hidden="false" customHeight="false" outlineLevel="0" collapsed="false">
      <c r="A2" s="2" t="s">
        <v>88</v>
      </c>
    </row>
    <row r="4" customFormat="false" ht="39.75" hidden="false" customHeight="true" outlineLevel="0" collapsed="false">
      <c r="A4" s="13" t="s">
        <v>89</v>
      </c>
      <c r="B4" s="13" t="s">
        <v>90</v>
      </c>
      <c r="C4" s="13" t="s">
        <v>91</v>
      </c>
      <c r="D4" s="13" t="s">
        <v>92</v>
      </c>
      <c r="E4" s="13" t="s">
        <v>93</v>
      </c>
      <c r="F4" s="13" t="s">
        <v>94</v>
      </c>
      <c r="G4" s="13" t="s">
        <v>95</v>
      </c>
    </row>
    <row r="5" customFormat="false" ht="15" hidden="false" customHeight="false" outlineLevel="0" collapsed="false">
      <c r="A5" s="27"/>
      <c r="B5" s="8"/>
      <c r="C5" s="8"/>
      <c r="D5" s="8"/>
      <c r="E5" s="8"/>
      <c r="F5" s="7"/>
      <c r="G5" s="8"/>
    </row>
    <row r="6" customFormat="false" ht="15" hidden="false" customHeight="false" outlineLevel="0" collapsed="false">
      <c r="A6" s="27"/>
      <c r="B6" s="8"/>
      <c r="C6" s="8"/>
      <c r="D6" s="8"/>
      <c r="E6" s="8"/>
      <c r="F6" s="7"/>
      <c r="G6" s="8"/>
    </row>
    <row r="7" customFormat="false" ht="15" hidden="false" customHeight="false" outlineLevel="0" collapsed="false">
      <c r="A7" s="27"/>
      <c r="B7" s="8"/>
      <c r="C7" s="8"/>
      <c r="D7" s="8"/>
      <c r="E7" s="8"/>
      <c r="F7" s="7"/>
      <c r="G7" s="8"/>
    </row>
    <row r="8" customFormat="false" ht="15" hidden="false" customHeight="false" outlineLevel="0" collapsed="false">
      <c r="A8" s="27"/>
      <c r="B8" s="8"/>
      <c r="C8" s="8"/>
      <c r="D8" s="8"/>
      <c r="E8" s="8"/>
      <c r="F8" s="7"/>
      <c r="G8" s="8"/>
    </row>
    <row r="9" customFormat="false" ht="15" hidden="false" customHeight="false" outlineLevel="0" collapsed="false">
      <c r="A9" s="27"/>
      <c r="B9" s="8"/>
      <c r="C9" s="8"/>
      <c r="D9" s="8"/>
      <c r="E9" s="8"/>
      <c r="F9" s="7"/>
      <c r="G9" s="8"/>
    </row>
    <row r="10" customFormat="false" ht="15" hidden="false" customHeight="false" outlineLevel="0" collapsed="false">
      <c r="A10" s="27"/>
      <c r="B10" s="8"/>
      <c r="C10" s="8"/>
      <c r="D10" s="8"/>
      <c r="E10" s="8"/>
      <c r="F10" s="7"/>
      <c r="G10" s="8"/>
    </row>
    <row r="11" customFormat="false" ht="15" hidden="false" customHeight="false" outlineLevel="0" collapsed="false">
      <c r="A11" s="27"/>
      <c r="B11" s="8"/>
      <c r="C11" s="8"/>
      <c r="D11" s="8"/>
      <c r="E11" s="8"/>
      <c r="F11" s="7"/>
      <c r="G11" s="8"/>
    </row>
    <row r="12" customFormat="false" ht="15" hidden="false" customHeight="false" outlineLevel="0" collapsed="false">
      <c r="A12" s="27"/>
      <c r="B12" s="8"/>
      <c r="C12" s="8"/>
      <c r="D12" s="8"/>
      <c r="E12" s="8"/>
      <c r="F12" s="7"/>
      <c r="G12" s="8"/>
    </row>
    <row r="13" customFormat="false" ht="15" hidden="false" customHeight="false" outlineLevel="0" collapsed="false">
      <c r="A13" s="27"/>
      <c r="B13" s="8"/>
      <c r="C13" s="8"/>
      <c r="D13" s="8"/>
      <c r="E13" s="8"/>
      <c r="F13" s="7"/>
      <c r="G13" s="8"/>
    </row>
    <row r="14" customFormat="false" ht="15" hidden="false" customHeight="false" outlineLevel="0" collapsed="false">
      <c r="A14" s="27"/>
      <c r="B14" s="8"/>
      <c r="C14" s="8"/>
      <c r="D14" s="8"/>
      <c r="E14" s="8"/>
      <c r="F14" s="7"/>
      <c r="G14" s="8"/>
    </row>
    <row r="15" customFormat="false" ht="15" hidden="false" customHeight="false" outlineLevel="0" collapsed="false">
      <c r="A15" s="27"/>
      <c r="B15" s="8"/>
      <c r="C15" s="8"/>
      <c r="D15" s="8"/>
      <c r="E15" s="8"/>
      <c r="F15" s="7"/>
      <c r="G15" s="8"/>
    </row>
    <row r="16" customFormat="false" ht="15" hidden="false" customHeight="false" outlineLevel="0" collapsed="false">
      <c r="A16" s="27"/>
      <c r="B16" s="8"/>
      <c r="C16" s="8"/>
      <c r="D16" s="8"/>
      <c r="E16" s="8"/>
      <c r="F16" s="7"/>
      <c r="G16" s="8"/>
    </row>
    <row r="17" customFormat="false" ht="15" hidden="false" customHeight="false" outlineLevel="0" collapsed="false">
      <c r="A17" s="27"/>
      <c r="B17" s="8"/>
      <c r="C17" s="8"/>
      <c r="D17" s="8"/>
      <c r="E17" s="8"/>
      <c r="F17" s="7"/>
      <c r="G17" s="8"/>
    </row>
    <row r="18" customFormat="false" ht="15" hidden="false" customHeight="false" outlineLevel="0" collapsed="false">
      <c r="A18" s="27"/>
      <c r="B18" s="8"/>
      <c r="C18" s="8"/>
      <c r="D18" s="8"/>
      <c r="E18" s="8"/>
      <c r="F18" s="7"/>
      <c r="G18" s="8"/>
    </row>
    <row r="19" customFormat="false" ht="15" hidden="false" customHeight="false" outlineLevel="0" collapsed="false">
      <c r="A19" s="27"/>
      <c r="B19" s="8"/>
      <c r="C19" s="8"/>
      <c r="D19" s="8"/>
      <c r="E19" s="8"/>
      <c r="F19" s="7"/>
      <c r="G19" s="8"/>
    </row>
    <row r="20" customFormat="false" ht="15" hidden="false" customHeight="false" outlineLevel="0" collapsed="false">
      <c r="A20" s="27"/>
      <c r="B20" s="8"/>
      <c r="C20" s="8"/>
      <c r="D20" s="8"/>
      <c r="E20" s="8"/>
      <c r="F20" s="7"/>
      <c r="G20" s="8"/>
    </row>
    <row r="21" customFormat="false" ht="15" hidden="false" customHeight="false" outlineLevel="0" collapsed="false">
      <c r="A21" s="27"/>
      <c r="B21" s="8"/>
      <c r="C21" s="8"/>
      <c r="D21" s="8"/>
      <c r="E21" s="8"/>
      <c r="F21" s="7"/>
      <c r="G21" s="8"/>
    </row>
    <row r="22" customFormat="false" ht="15" hidden="false" customHeight="false" outlineLevel="0" collapsed="false">
      <c r="A22" s="27"/>
      <c r="B22" s="8"/>
      <c r="C22" s="8"/>
      <c r="D22" s="8"/>
      <c r="E22" s="8"/>
      <c r="F22" s="7"/>
      <c r="G22" s="8"/>
    </row>
    <row r="23" customFormat="false" ht="15" hidden="false" customHeight="false" outlineLevel="0" collapsed="false">
      <c r="A23" s="27"/>
      <c r="B23" s="8"/>
      <c r="C23" s="8"/>
      <c r="D23" s="8"/>
      <c r="E23" s="8"/>
      <c r="F23" s="7"/>
      <c r="G23" s="8"/>
    </row>
    <row r="24" customFormat="false" ht="15" hidden="false" customHeight="false" outlineLevel="0" collapsed="false">
      <c r="A24" s="27"/>
      <c r="B24" s="8"/>
      <c r="C24" s="8"/>
      <c r="D24" s="8"/>
      <c r="E24" s="8"/>
      <c r="F24" s="7"/>
      <c r="G24" s="8"/>
    </row>
    <row r="25" customFormat="false" ht="15" hidden="false" customHeight="false" outlineLevel="0" collapsed="false">
      <c r="A25" s="27"/>
      <c r="B25" s="8"/>
      <c r="C25" s="8"/>
      <c r="D25" s="8"/>
      <c r="E25" s="8"/>
      <c r="F25" s="7"/>
      <c r="G25" s="8"/>
    </row>
    <row r="26" customFormat="false" ht="15" hidden="false" customHeight="false" outlineLevel="0" collapsed="false">
      <c r="A26" s="27"/>
      <c r="B26" s="8"/>
      <c r="C26" s="8"/>
      <c r="D26" s="8"/>
      <c r="E26" s="8"/>
      <c r="F26" s="7"/>
      <c r="G26" s="8"/>
    </row>
    <row r="27" customFormat="false" ht="15" hidden="false" customHeight="false" outlineLevel="0" collapsed="false">
      <c r="A27" s="27"/>
      <c r="B27" s="8"/>
      <c r="C27" s="8"/>
      <c r="D27" s="8"/>
      <c r="E27" s="8"/>
      <c r="F27" s="7"/>
      <c r="G27" s="8"/>
    </row>
    <row r="28" customFormat="false" ht="15" hidden="false" customHeight="false" outlineLevel="0" collapsed="false">
      <c r="A28" s="27"/>
      <c r="B28" s="8"/>
      <c r="C28" s="8"/>
      <c r="D28" s="8"/>
      <c r="E28" s="8"/>
      <c r="F28" s="7"/>
      <c r="G28" s="8"/>
    </row>
    <row r="29" customFormat="false" ht="15" hidden="false" customHeight="false" outlineLevel="0" collapsed="false">
      <c r="A29" s="27"/>
      <c r="B29" s="8"/>
      <c r="C29" s="8"/>
      <c r="D29" s="8"/>
      <c r="E29" s="8"/>
      <c r="F29" s="7"/>
      <c r="G29" s="8"/>
    </row>
    <row r="30" customFormat="false" ht="15" hidden="false" customHeight="false" outlineLevel="0" collapsed="false">
      <c r="A30" s="27"/>
      <c r="B30" s="8"/>
      <c r="C30" s="8"/>
      <c r="D30" s="8"/>
      <c r="E30" s="8"/>
      <c r="F30" s="7"/>
      <c r="G30" s="8"/>
    </row>
    <row r="31" customFormat="false" ht="15" hidden="false" customHeight="false" outlineLevel="0" collapsed="false">
      <c r="A31" s="27"/>
      <c r="B31" s="8"/>
      <c r="C31" s="8"/>
      <c r="D31" s="8"/>
      <c r="E31" s="8"/>
      <c r="F31" s="7"/>
      <c r="G31" s="8"/>
    </row>
    <row r="32" customFormat="false" ht="15" hidden="false" customHeight="false" outlineLevel="0" collapsed="false">
      <c r="A32" s="27"/>
      <c r="B32" s="8"/>
      <c r="C32" s="8"/>
      <c r="D32" s="8"/>
      <c r="E32" s="8"/>
      <c r="F32" s="7"/>
      <c r="G32" s="8"/>
    </row>
    <row r="33" customFormat="false" ht="15" hidden="false" customHeight="false" outlineLevel="0" collapsed="false">
      <c r="A33" s="27"/>
      <c r="B33" s="8"/>
      <c r="C33" s="8"/>
      <c r="D33" s="8"/>
      <c r="E33" s="8"/>
      <c r="F33" s="7"/>
      <c r="G33" s="8"/>
    </row>
    <row r="34" customFormat="false" ht="15" hidden="false" customHeight="false" outlineLevel="0" collapsed="false">
      <c r="A34" s="27"/>
      <c r="B34" s="8"/>
      <c r="C34" s="8"/>
      <c r="D34" s="8"/>
      <c r="E34" s="8"/>
      <c r="F34" s="7"/>
      <c r="G34" s="8"/>
    </row>
    <row r="35" customFormat="false" ht="15" hidden="false" customHeight="false" outlineLevel="0" collapsed="false">
      <c r="A35" s="27"/>
      <c r="B35" s="8"/>
      <c r="C35" s="8"/>
      <c r="D35" s="8"/>
      <c r="E35" s="8"/>
      <c r="F35" s="7"/>
      <c r="G35" s="8"/>
    </row>
    <row r="36" customFormat="false" ht="15" hidden="false" customHeight="false" outlineLevel="0" collapsed="false">
      <c r="A36" s="27"/>
      <c r="B36" s="8"/>
      <c r="C36" s="8"/>
      <c r="D36" s="8"/>
      <c r="E36" s="8"/>
      <c r="F36" s="7"/>
      <c r="G36" s="8"/>
    </row>
    <row r="37" customFormat="false" ht="15" hidden="false" customHeight="false" outlineLevel="0" collapsed="false">
      <c r="A37" s="27"/>
      <c r="B37" s="8"/>
      <c r="C37" s="8"/>
      <c r="D37" s="8"/>
      <c r="E37" s="8"/>
      <c r="F37" s="7"/>
      <c r="G37" s="8"/>
    </row>
    <row r="38" customFormat="false" ht="15" hidden="false" customHeight="false" outlineLevel="0" collapsed="false">
      <c r="A38" s="27"/>
      <c r="B38" s="8"/>
      <c r="C38" s="8"/>
      <c r="D38" s="8"/>
      <c r="E38" s="8"/>
      <c r="F38" s="7"/>
      <c r="G38" s="8"/>
    </row>
    <row r="39" customFormat="false" ht="15" hidden="false" customHeight="false" outlineLevel="0" collapsed="false">
      <c r="A39" s="27"/>
      <c r="B39" s="8"/>
      <c r="C39" s="8"/>
      <c r="D39" s="8"/>
      <c r="E39" s="8"/>
      <c r="F39" s="7"/>
      <c r="G39" s="8"/>
    </row>
    <row r="40" customFormat="false" ht="15" hidden="false" customHeight="false" outlineLevel="0" collapsed="false">
      <c r="A40" s="27"/>
      <c r="B40" s="8"/>
      <c r="C40" s="8"/>
      <c r="D40" s="8"/>
      <c r="E40" s="8"/>
      <c r="F40" s="7"/>
      <c r="G40" s="8"/>
    </row>
    <row r="41" customFormat="false" ht="15" hidden="false" customHeight="false" outlineLevel="0" collapsed="false">
      <c r="A41" s="27"/>
      <c r="B41" s="8"/>
      <c r="C41" s="8"/>
      <c r="D41" s="8"/>
      <c r="E41" s="8"/>
      <c r="F41" s="7"/>
      <c r="G41" s="8"/>
    </row>
    <row r="42" customFormat="false" ht="15" hidden="false" customHeight="false" outlineLevel="0" collapsed="false">
      <c r="A42" s="27"/>
      <c r="B42" s="8"/>
      <c r="C42" s="8"/>
      <c r="D42" s="8"/>
      <c r="E42" s="8"/>
      <c r="F42" s="7"/>
      <c r="G42" s="8"/>
    </row>
    <row r="43" customFormat="false" ht="15" hidden="false" customHeight="false" outlineLevel="0" collapsed="false">
      <c r="A43" s="27"/>
      <c r="B43" s="8"/>
      <c r="C43" s="8"/>
      <c r="D43" s="8"/>
      <c r="E43" s="8"/>
      <c r="F43" s="7"/>
      <c r="G43" s="8"/>
    </row>
    <row r="44" customFormat="false" ht="15" hidden="false" customHeight="false" outlineLevel="0" collapsed="false">
      <c r="A44" s="27"/>
      <c r="B44" s="8"/>
      <c r="C44" s="8"/>
      <c r="D44" s="8"/>
      <c r="E44" s="8"/>
      <c r="F44" s="7"/>
      <c r="G44" s="8"/>
    </row>
    <row r="46" customFormat="false" ht="15" hidden="false" customHeight="false" outlineLevel="0" collapsed="false">
      <c r="A46" s="2" t="s">
        <v>96</v>
      </c>
    </row>
  </sheetData>
  <dataValidations count="1">
    <dataValidation allowBlank="true" errorStyle="stop" operator="between" showDropDown="false" showErrorMessage="false" showInputMessage="false" sqref="G5:G44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2026-10-15T07:07:49Z</dcterms:created>
  <dc:creator>openpyxl</dc:creator>
  <dc:description/>
  <dc:language>en-US</dc:language>
  <cp:lastModifiedBy/>
  <dcterms:modified xsi:type="dcterms:W3CDTF">2026-10-15T09:07:53Z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