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raglobal-my.sharepoint.com/personal/greg_hayter_draglobal_com/Documents/Documents/Solar Book/Chapter 4/"/>
    </mc:Choice>
  </mc:AlternateContent>
  <xr:revisionPtr revIDLastSave="3" documentId="11_155FACC0BEA1E17110B5AD947CEE90EA705E8412" xr6:coauthVersionLast="47" xr6:coauthVersionMax="47" xr10:uidLastSave="{DD8B873A-3112-4968-BAC4-AB94B38D91E1}"/>
  <bookViews>
    <workbookView xWindow="-28920" yWindow="-120" windowWidth="29040" windowHeight="15720" tabRatio="500" activeTab="4" xr2:uid="{00000000-000D-0000-FFFF-FFFF00000000}"/>
  </bookViews>
  <sheets>
    <sheet name="Start Here" sheetId="1" r:id="rId1"/>
    <sheet name="Datasheets" sheetId="2" r:id="rId2"/>
    <sheet name="Strings" sheetId="3" r:id="rId3"/>
    <sheet name="Loads &amp; Surge" sheetId="4" r:id="rId4"/>
    <sheet name="Featur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5" l="1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B34" i="4"/>
  <c r="B32" i="4"/>
  <c r="B31" i="4"/>
  <c r="B30" i="4"/>
  <c r="B27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B28" i="4" s="1"/>
  <c r="B29" i="4" s="1"/>
  <c r="B33" i="4" s="1"/>
  <c r="E7" i="4"/>
  <c r="E6" i="4"/>
  <c r="E5" i="4"/>
  <c r="N14" i="3"/>
  <c r="M14" i="3"/>
  <c r="L14" i="3"/>
  <c r="K14" i="3"/>
  <c r="J14" i="3"/>
  <c r="I14" i="3"/>
  <c r="H14" i="3"/>
  <c r="G14" i="3"/>
  <c r="F14" i="3"/>
  <c r="E14" i="3"/>
  <c r="D14" i="3"/>
  <c r="N13" i="3"/>
  <c r="M13" i="3"/>
  <c r="L13" i="3"/>
  <c r="K13" i="3"/>
  <c r="J13" i="3"/>
  <c r="I13" i="3"/>
  <c r="H13" i="3"/>
  <c r="G13" i="3"/>
  <c r="F13" i="3"/>
  <c r="E13" i="3"/>
  <c r="D13" i="3"/>
  <c r="N12" i="3"/>
  <c r="M12" i="3"/>
  <c r="L12" i="3"/>
  <c r="K12" i="3"/>
  <c r="J12" i="3"/>
  <c r="I12" i="3"/>
  <c r="H12" i="3"/>
  <c r="G12" i="3"/>
  <c r="F12" i="3"/>
  <c r="E12" i="3"/>
  <c r="D12" i="3"/>
  <c r="N11" i="3"/>
  <c r="M11" i="3"/>
  <c r="L11" i="3"/>
  <c r="K11" i="3"/>
  <c r="J11" i="3"/>
  <c r="I11" i="3"/>
  <c r="H11" i="3"/>
  <c r="G11" i="3"/>
  <c r="F11" i="3"/>
  <c r="E11" i="3"/>
  <c r="D11" i="3"/>
  <c r="N10" i="3"/>
  <c r="M10" i="3"/>
  <c r="K10" i="3"/>
  <c r="L10" i="3" s="1"/>
  <c r="I10" i="3"/>
  <c r="J10" i="3" s="1"/>
  <c r="H10" i="3"/>
  <c r="G10" i="3"/>
  <c r="F10" i="3"/>
  <c r="E10" i="3"/>
  <c r="D10" i="3"/>
  <c r="N9" i="3"/>
  <c r="B17" i="3" s="1"/>
  <c r="M9" i="3"/>
  <c r="B18" i="3" s="1"/>
  <c r="K9" i="3"/>
  <c r="L9" i="3" s="1"/>
  <c r="I9" i="3"/>
  <c r="J9" i="3" s="1"/>
  <c r="F9" i="3"/>
  <c r="H9" i="3" s="1"/>
  <c r="E9" i="3"/>
  <c r="D9" i="3"/>
  <c r="G9" i="3" s="1"/>
  <c r="E6" i="3"/>
  <c r="E5" i="3"/>
  <c r="B20" i="3" l="1"/>
  <c r="B21" i="3" s="1"/>
  <c r="B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300-000001000000}">
      <text>
        <r>
          <rPr>
            <sz val="10"/>
            <rFont val="Arial"/>
            <family val="2"/>
          </rPr>
          <t>Motors and compressors briefly draw 2–3× (sometimes more) their running power when starting. 3× is a safe default.</t>
        </r>
      </text>
    </comment>
  </commentList>
</comments>
</file>

<file path=xl/sharedStrings.xml><?xml version="1.0" encoding="utf-8"?>
<sst xmlns="http://schemas.openxmlformats.org/spreadsheetml/2006/main" count="153" uniqueCount="135">
  <si>
    <t>Inverter Sizing Calculator</t>
  </si>
  <si>
    <t>Free companion tool to Chapter 4: Choosing an Inverter</t>
  </si>
  <si>
    <t>How to use it</t>
  </si>
  <si>
    <t>1. Datasheets: type in your panel's and inverter's figures (both datasheets list them). The example is a 600 W panel on a Sunsynk 12 kW.</t>
  </si>
  <si>
    <t>2. Strings: say how many panels go in each string, and how many strings on each MPPT. Every check turns green, amber or red.</t>
  </si>
  <si>
    <t>3. Loads &amp; Surge: list what might run at the same time during an outage. It checks the inverter's continuous and surge ratings.</t>
  </si>
  <si>
    <t>4. Features: tick what you need and what the inverter offers, to spot gaps before you buy.</t>
  </si>
  <si>
    <t>Colour key</t>
  </si>
  <si>
    <t>Yellow cells, blue text: you type here. The example values are there to overwrite.</t>
  </si>
  <si>
    <t>Grey cells: calculated, don't overwrite.</t>
  </si>
  <si>
    <t>Green = OK.  Amber = works, but you lose some output or should check.  Red = not allowed or not enough.</t>
  </si>
  <si>
    <t>Important</t>
  </si>
  <si>
    <t>This is a planning tool, not a design. The cold and hot voltage allowances are simple rules of thumb (Chapter 4).</t>
  </si>
  <si>
    <t>Your installer must confirm the final string design for your climate, using the exact datasheets, before anything is connected.</t>
  </si>
  <si>
    <t>Datasheets</t>
  </si>
  <si>
    <t>Copy these from your panel and inverter datasheets</t>
  </si>
  <si>
    <t>Solar panel</t>
  </si>
  <si>
    <t>Value</t>
  </si>
  <si>
    <t>Unit</t>
  </si>
  <si>
    <t>Model</t>
  </si>
  <si>
    <t>JA Solar JAM66D45-600/LB</t>
  </si>
  <si>
    <t>Maximum power (Pmax)</t>
  </si>
  <si>
    <t>W</t>
  </si>
  <si>
    <t>Open-circuit voltage (Voc)</t>
  </si>
  <si>
    <t>V</t>
  </si>
  <si>
    <t>Voltage at max power (Vmp)</t>
  </si>
  <si>
    <t>Short-circuit current (Isc)</t>
  </si>
  <si>
    <t>A</t>
  </si>
  <si>
    <t>Current at max power (Imp)</t>
  </si>
  <si>
    <t>Inverter</t>
  </si>
  <si>
    <t>Sunsynk 12 kW (SUNSYNK-12K-SG02LP1)</t>
  </si>
  <si>
    <t>Continuous output</t>
  </si>
  <si>
    <t>kW</t>
  </si>
  <si>
    <t>Surge is often given as '2× rated for 10 s' — enter it in kW (e.g. 2 × 12 = 24).</t>
  </si>
  <si>
    <t>Surge output (short peak)</t>
  </si>
  <si>
    <t>Maximum DC input voltage</t>
  </si>
  <si>
    <t>MPPT working range: lowest</t>
  </si>
  <si>
    <t>MPPT working range: highest</t>
  </si>
  <si>
    <t>Number of MPPTs</t>
  </si>
  <si>
    <t>Max strings per MPPT</t>
  </si>
  <si>
    <t>Max operating current per MPPT</t>
  </si>
  <si>
    <t>Number of strings each MPPT can take, e.g. '2+2+2' means 3 MPPTs × 2 strings.</t>
  </si>
  <si>
    <t>Max short-circuit current per MPPT</t>
  </si>
  <si>
    <t>Max solar array</t>
  </si>
  <si>
    <t>Weather allowances (rules of thumb)</t>
  </si>
  <si>
    <t>Cold-morning voltage rise</t>
  </si>
  <si>
    <t>Allow ~10% above Voc for cold mornings. Use more in very cold climates.</t>
  </si>
  <si>
    <t>Hot-day voltage drop</t>
  </si>
  <si>
    <t>Working voltage falls ~12% on a hot afternoon. Use more in very hot climates.</t>
  </si>
  <si>
    <t>String Check</t>
  </si>
  <si>
    <t>How many panels per string, and how many strings per MPPT</t>
  </si>
  <si>
    <t>Allowed string length for this panel and inverter:</t>
  </si>
  <si>
    <t>Shortest string (stays in working range on a hot day)</t>
  </si>
  <si>
    <t>Longest string (stays under max DC voltage on a cold morning)</t>
  </si>
  <si>
    <t>MPPT</t>
  </si>
  <si>
    <t>Panels per string</t>
  </si>
  <si>
    <t>Strings on this MPPT</t>
  </si>
  <si>
    <t>Cold-morning open-circuit voltage (V)</t>
  </si>
  <si>
    <t>Normal working voltage (V)</t>
  </si>
  <si>
    <t>Hot-day working voltage (V)</t>
  </si>
  <si>
    <t>Max voltage check</t>
  </si>
  <si>
    <t>Working range check</t>
  </si>
  <si>
    <t>Operating current (A)</t>
  </si>
  <si>
    <t>Current check</t>
  </si>
  <si>
    <t>Short-circuit current (A)</t>
  </si>
  <si>
    <t>Safety current check</t>
  </si>
  <si>
    <t>Array power (kW)</t>
  </si>
  <si>
    <t>Panels</t>
  </si>
  <si>
    <t>Totals</t>
  </si>
  <si>
    <t>Total panels</t>
  </si>
  <si>
    <t>Leave unused MPPT rows blank. Each MPPT should carry identical strings on one roof face (Chapter 4, section 4.5).</t>
  </si>
  <si>
    <t>Total array (kW)</t>
  </si>
  <si>
    <t>Array check</t>
  </si>
  <si>
    <t>Solar-to-inverter ratio</t>
  </si>
  <si>
    <t>Ratio note</t>
  </si>
  <si>
    <t>Loads &amp; Surge</t>
  </si>
  <si>
    <t>Will the inverter cope with what you run at the same time during an outage?</t>
  </si>
  <si>
    <t>What might run at the same time</t>
  </si>
  <si>
    <t>Running power (W)</t>
  </si>
  <si>
    <t>Motor or compressor? (Y/N)</t>
  </si>
  <si>
    <t>Start-up multiplier</t>
  </si>
  <si>
    <t>Extra power at start-up (W)</t>
  </si>
  <si>
    <t>Water heater element</t>
  </si>
  <si>
    <t>N</t>
  </si>
  <si>
    <t>Kettle</t>
  </si>
  <si>
    <t>Microwave</t>
  </si>
  <si>
    <t>Fridge-freezer</t>
  </si>
  <si>
    <t>Y</t>
  </si>
  <si>
    <t>Pool pump</t>
  </si>
  <si>
    <t>Lights</t>
  </si>
  <si>
    <t>TV, Wi-Fi, chargers</t>
  </si>
  <si>
    <t>Continuous load (everything above running together)</t>
  </si>
  <si>
    <t>Biggest single start-up surge on top</t>
  </si>
  <si>
    <t>Peak demand at the worst moment</t>
  </si>
  <si>
    <t>Inverter continuous output</t>
  </si>
  <si>
    <t>Inverter surge output</t>
  </si>
  <si>
    <t>Continuous check</t>
  </si>
  <si>
    <t>Surge check</t>
  </si>
  <si>
    <t>Suggested minimum inverter size</t>
  </si>
  <si>
    <t>The suggested size adds 25% headroom and never goes below 8 kVA, the sensible minimum for most homes today (Chapter 4, section 4.4).</t>
  </si>
  <si>
    <t>When the grid is on, a hybrid inverter can often pass grid power through for bigger peaks. These checks are for outages, when the inverter is on its own.</t>
  </si>
  <si>
    <t>Features Checklist</t>
  </si>
  <si>
    <t>Tick what you need, then what the inverter you're quoted actually offers</t>
  </si>
  <si>
    <t>Feature</t>
  </si>
  <si>
    <t>Why you might want it</t>
  </si>
  <si>
    <t>Do I need it?</t>
  </si>
  <si>
    <t>Does it have it?</t>
  </si>
  <si>
    <t>Result</t>
  </si>
  <si>
    <t>Battery-ready (hybrid)</t>
  </si>
  <si>
    <t>Backup during outages; store solar for the evening</t>
  </si>
  <si>
    <t>Correct phase (single or three)</t>
  </si>
  <si>
    <t>Must match your home's supply</t>
  </si>
  <si>
    <t>Enough MPPTs for my roof faces</t>
  </si>
  <si>
    <t>One MPPT per roof face or direction</t>
  </si>
  <si>
    <t>Time-of-use scheduling</t>
  </si>
  <si>
    <t>Charge cheaply, avoid peak rates, prepare for planned outages</t>
  </si>
  <si>
    <t>Generator input</t>
  </si>
  <si>
    <t>Long outages or off-grid</t>
  </si>
  <si>
    <t>Smart load output</t>
  </si>
  <si>
    <t>Run the water heater or pool pump on surplus solar automatically</t>
  </si>
  <si>
    <t>Export limiting (zero export)</t>
  </si>
  <si>
    <t>Required where export isn't allowed</t>
  </si>
  <si>
    <t>Fast backup switchover</t>
  </si>
  <si>
    <t>Computers and Wi-Fi don't notice outages</t>
  </si>
  <si>
    <t>Parallel operation</t>
  </si>
  <si>
    <t>Add a second inverter later, or build three-phase</t>
  </si>
  <si>
    <t>Compatible with my preferred battery</t>
  </si>
  <si>
    <t>Low-voltage (48 V) or high-voltage, on the approved list</t>
  </si>
  <si>
    <t>Approved for my local grid</t>
  </si>
  <si>
    <t>Legal connection; insurance</t>
  </si>
  <si>
    <t>Monitoring app</t>
  </si>
  <si>
    <t>See production, use and faults on your phone</t>
  </si>
  <si>
    <t>Local support and warranty</t>
  </si>
  <si>
    <t>Someone to fix it if it fails</t>
  </si>
  <si>
    <t>Must-haves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</si>
</sst>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panels&quot;"/>
    <numFmt numFmtId="165" formatCode="0.0"/>
    <numFmt numFmtId="166" formatCode="0.00\×"/>
    <numFmt numFmtId="167" formatCode="0.0\×"/>
    <numFmt numFmtId="168" formatCode="0.00&quot; kW&quot;"/>
    <numFmt numFmtId="169" formatCode="0&quot; kVA (at least)&quot;"/>
  </numFmts>
  <fonts count="11" x14ac:knownFonts="1">
    <font>
      <sz val="11"/>
      <color theme="1"/>
      <name val="Calibri"/>
      <family val="2"/>
      <charset val="1"/>
    </font>
    <font>
      <b/>
      <sz val="16"/>
      <color rgb="FF1F5F5B"/>
      <name val="Arial"/>
      <charset val="1"/>
    </font>
    <font>
      <i/>
      <sz val="10"/>
      <color rgb="FF555555"/>
      <name val="Arial"/>
      <charset val="1"/>
    </font>
    <font>
      <b/>
      <sz val="12"/>
      <color rgb="FF1F5F5B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1F5F5B"/>
      <name val="Arial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6D5"/>
        <bgColor rgb="FFFFF3CD"/>
      </patternFill>
    </fill>
    <fill>
      <patternFill patternType="solid">
        <fgColor rgb="FFF3F5F5"/>
        <bgColor rgb="FFFFFFFF"/>
      </patternFill>
    </fill>
    <fill>
      <patternFill patternType="solid">
        <fgColor rgb="FF1F5F5B"/>
        <bgColor rgb="FF555555"/>
      </patternFill>
    </fill>
  </fills>
  <borders count="2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1">
    <xf numFmtId="0" fontId="0" fillId="0" borderId="0"/>
  </cellStyleXfs>
  <cellXfs count="32">
    <xf numFmtId="0" fontId="0" fillId="0" borderId="0" xfId="0"/>
    <xf numFmtId="169" fontId="7" fillId="3" borderId="1" xfId="0" applyNumberFormat="1" applyFont="1" applyFill="1" applyBorder="1"/>
    <xf numFmtId="0" fontId="7" fillId="3" borderId="1" xfId="0" applyFont="1" applyFill="1" applyBorder="1"/>
    <xf numFmtId="168" fontId="7" fillId="3" borderId="1" xfId="0" applyNumberFormat="1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/>
    <xf numFmtId="2" fontId="5" fillId="2" borderId="1" xfId="0" applyNumberFormat="1" applyFont="1" applyFill="1" applyBorder="1"/>
    <xf numFmtId="9" fontId="5" fillId="2" borderId="1" xfId="0" applyNumberFormat="1" applyFont="1" applyFill="1" applyBorder="1"/>
    <xf numFmtId="0" fontId="7" fillId="0" borderId="0" xfId="0" applyFont="1"/>
    <xf numFmtId="164" fontId="7" fillId="3" borderId="1" xfId="0" applyNumberFormat="1" applyFont="1" applyFill="1" applyBorder="1"/>
    <xf numFmtId="0" fontId="0" fillId="0" borderId="1" xfId="0" applyBorder="1" applyAlignment="1">
      <alignment horizontal="center"/>
    </xf>
    <xf numFmtId="1" fontId="8" fillId="3" borderId="1" xfId="0" applyNumberFormat="1" applyFont="1" applyFill="1" applyBorder="1"/>
    <xf numFmtId="0" fontId="8" fillId="3" borderId="1" xfId="0" applyFont="1" applyFill="1" applyBorder="1"/>
    <xf numFmtId="165" fontId="8" fillId="3" borderId="1" xfId="0" applyNumberFormat="1" applyFont="1" applyFill="1" applyBorder="1"/>
    <xf numFmtId="2" fontId="8" fillId="3" borderId="1" xfId="0" applyNumberFormat="1" applyFont="1" applyFill="1" applyBorder="1"/>
    <xf numFmtId="0" fontId="9" fillId="0" borderId="0" xfId="0" applyFont="1"/>
    <xf numFmtId="1" fontId="7" fillId="3" borderId="1" xfId="0" applyNumberFormat="1" applyFont="1" applyFill="1" applyBorder="1"/>
    <xf numFmtId="2" fontId="7" fillId="3" borderId="1" xfId="0" applyNumberFormat="1" applyFont="1" applyFill="1" applyBorder="1"/>
    <xf numFmtId="0" fontId="7" fillId="3" borderId="1" xfId="0" applyFont="1" applyFill="1" applyBorder="1"/>
    <xf numFmtId="166" fontId="7" fillId="3" borderId="1" xfId="0" applyNumberFormat="1" applyFont="1" applyFill="1" applyBorder="1"/>
    <xf numFmtId="3" fontId="5" fillId="2" borderId="1" xfId="0" applyNumberFormat="1" applyFont="1" applyFill="1" applyBorder="1"/>
    <xf numFmtId="167" fontId="5" fillId="2" borderId="1" xfId="0" applyNumberFormat="1" applyFont="1" applyFill="1" applyBorder="1"/>
    <xf numFmtId="3" fontId="8" fillId="3" borderId="1" xfId="0" applyNumberFormat="1" applyFont="1" applyFill="1" applyBorder="1"/>
    <xf numFmtId="0" fontId="7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21"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D4ED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08080"/>
      <rgbColor rgb="FF9999FF"/>
      <rgbColor rgb="FF993366"/>
      <rgbColor rgb="FFFFF6D5"/>
      <rgbColor rgb="FFF3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110" customWidth="1"/>
  </cols>
  <sheetData>
    <row r="1" spans="1:2" ht="20.25" x14ac:dyDescent="0.3">
      <c r="A1" s="4" t="s">
        <v>0</v>
      </c>
    </row>
    <row r="2" spans="1:2" x14ac:dyDescent="0.25">
      <c r="A2" s="5" t="s">
        <v>1</v>
      </c>
    </row>
    <row r="4" spans="1:2" ht="15.75" x14ac:dyDescent="0.25">
      <c r="B4" s="6" t="s">
        <v>2</v>
      </c>
    </row>
    <row r="5" spans="1:2" x14ac:dyDescent="0.25">
      <c r="B5" s="7" t="s">
        <v>3</v>
      </c>
    </row>
    <row r="6" spans="1:2" x14ac:dyDescent="0.25">
      <c r="B6" s="7" t="s">
        <v>4</v>
      </c>
    </row>
    <row r="7" spans="1:2" x14ac:dyDescent="0.25">
      <c r="B7" s="7" t="s">
        <v>5</v>
      </c>
    </row>
    <row r="8" spans="1:2" x14ac:dyDescent="0.25">
      <c r="B8" s="7" t="s">
        <v>6</v>
      </c>
    </row>
    <row r="9" spans="1:2" x14ac:dyDescent="0.25">
      <c r="B9" s="7"/>
    </row>
    <row r="10" spans="1:2" x14ac:dyDescent="0.25">
      <c r="B10" s="8" t="s">
        <v>7</v>
      </c>
    </row>
    <row r="11" spans="1:2" x14ac:dyDescent="0.25">
      <c r="B11" s="9" t="s">
        <v>8</v>
      </c>
    </row>
    <row r="12" spans="1:2" x14ac:dyDescent="0.25">
      <c r="B12" s="7" t="s">
        <v>9</v>
      </c>
    </row>
    <row r="13" spans="1:2" x14ac:dyDescent="0.25">
      <c r="B13" s="7" t="s">
        <v>10</v>
      </c>
    </row>
    <row r="14" spans="1:2" x14ac:dyDescent="0.25">
      <c r="B14" s="7"/>
    </row>
    <row r="15" spans="1:2" ht="15.75" x14ac:dyDescent="0.25">
      <c r="B15" s="6" t="s">
        <v>11</v>
      </c>
    </row>
    <row r="16" spans="1:2" x14ac:dyDescent="0.25">
      <c r="B16" s="7" t="s">
        <v>12</v>
      </c>
    </row>
    <row r="17" spans="2:2" x14ac:dyDescent="0.25">
      <c r="B17" s="7" t="s">
        <v>13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showGridLines="0" zoomScaleNormal="100" workbookViewId="0">
      <selection activeCell="B19" sqref="B19"/>
    </sheetView>
  </sheetViews>
  <sheetFormatPr defaultColWidth="8.7109375" defaultRowHeight="15" x14ac:dyDescent="0.25"/>
  <cols>
    <col min="1" max="1" width="42" customWidth="1"/>
    <col min="2" max="2" width="14" customWidth="1"/>
    <col min="3" max="3" width="10" customWidth="1"/>
    <col min="4" max="4" width="4" customWidth="1"/>
    <col min="5" max="5" width="60" customWidth="1"/>
  </cols>
  <sheetData>
    <row r="1" spans="1:5" ht="20.25" x14ac:dyDescent="0.3">
      <c r="A1" s="4" t="s">
        <v>14</v>
      </c>
    </row>
    <row r="2" spans="1:5" x14ac:dyDescent="0.25">
      <c r="A2" s="5" t="s">
        <v>15</v>
      </c>
    </row>
    <row r="4" spans="1:5" ht="31.5" customHeight="1" x14ac:dyDescent="0.25">
      <c r="A4" s="10" t="s">
        <v>16</v>
      </c>
      <c r="B4" s="10" t="s">
        <v>17</v>
      </c>
      <c r="C4" s="10" t="s">
        <v>18</v>
      </c>
    </row>
    <row r="5" spans="1:5" x14ac:dyDescent="0.25">
      <c r="A5" s="11" t="s">
        <v>19</v>
      </c>
      <c r="B5" s="12" t="s">
        <v>20</v>
      </c>
      <c r="C5" s="11"/>
    </row>
    <row r="6" spans="1:5" x14ac:dyDescent="0.25">
      <c r="A6" s="11" t="s">
        <v>21</v>
      </c>
      <c r="B6" s="12">
        <v>600</v>
      </c>
      <c r="C6" s="11" t="s">
        <v>22</v>
      </c>
    </row>
    <row r="7" spans="1:5" x14ac:dyDescent="0.25">
      <c r="A7" s="11" t="s">
        <v>23</v>
      </c>
      <c r="B7" s="13">
        <v>47.7</v>
      </c>
      <c r="C7" s="11" t="s">
        <v>24</v>
      </c>
    </row>
    <row r="8" spans="1:5" x14ac:dyDescent="0.25">
      <c r="A8" s="11" t="s">
        <v>25</v>
      </c>
      <c r="B8" s="13">
        <v>39.44</v>
      </c>
      <c r="C8" s="11" t="s">
        <v>24</v>
      </c>
    </row>
    <row r="9" spans="1:5" x14ac:dyDescent="0.25">
      <c r="A9" s="11" t="s">
        <v>26</v>
      </c>
      <c r="B9" s="13">
        <v>15.95</v>
      </c>
      <c r="C9" s="11" t="s">
        <v>27</v>
      </c>
    </row>
    <row r="10" spans="1:5" x14ac:dyDescent="0.25">
      <c r="A10" s="11" t="s">
        <v>28</v>
      </c>
      <c r="B10" s="13">
        <v>15.21</v>
      </c>
      <c r="C10" s="11" t="s">
        <v>27</v>
      </c>
    </row>
    <row r="12" spans="1:5" ht="31.5" customHeight="1" x14ac:dyDescent="0.25">
      <c r="A12" s="10" t="s">
        <v>29</v>
      </c>
      <c r="B12" s="10" t="s">
        <v>17</v>
      </c>
      <c r="C12" s="10" t="s">
        <v>18</v>
      </c>
    </row>
    <row r="13" spans="1:5" x14ac:dyDescent="0.25">
      <c r="A13" s="11" t="s">
        <v>19</v>
      </c>
      <c r="B13" s="12" t="s">
        <v>30</v>
      </c>
      <c r="C13" s="11"/>
    </row>
    <row r="14" spans="1:5" x14ac:dyDescent="0.25">
      <c r="A14" s="11" t="s">
        <v>31</v>
      </c>
      <c r="B14" s="12">
        <v>12</v>
      </c>
      <c r="C14" s="11" t="s">
        <v>32</v>
      </c>
      <c r="E14" s="5" t="s">
        <v>33</v>
      </c>
    </row>
    <row r="15" spans="1:5" x14ac:dyDescent="0.25">
      <c r="A15" s="11" t="s">
        <v>34</v>
      </c>
      <c r="B15" s="12">
        <v>24</v>
      </c>
      <c r="C15" s="11" t="s">
        <v>32</v>
      </c>
    </row>
    <row r="16" spans="1:5" x14ac:dyDescent="0.25">
      <c r="A16" s="11" t="s">
        <v>35</v>
      </c>
      <c r="B16" s="12">
        <v>500</v>
      </c>
      <c r="C16" s="11" t="s">
        <v>24</v>
      </c>
    </row>
    <row r="17" spans="1:5" x14ac:dyDescent="0.25">
      <c r="A17" s="11" t="s">
        <v>36</v>
      </c>
      <c r="B17" s="12">
        <v>150</v>
      </c>
      <c r="C17" s="11" t="s">
        <v>24</v>
      </c>
    </row>
    <row r="18" spans="1:5" x14ac:dyDescent="0.25">
      <c r="A18" s="11" t="s">
        <v>37</v>
      </c>
      <c r="B18" s="12">
        <v>425</v>
      </c>
      <c r="C18" s="11" t="s">
        <v>24</v>
      </c>
    </row>
    <row r="19" spans="1:5" x14ac:dyDescent="0.25">
      <c r="A19" s="11" t="s">
        <v>38</v>
      </c>
      <c r="B19" s="12">
        <v>3</v>
      </c>
      <c r="C19" s="11"/>
    </row>
    <row r="20" spans="1:5" x14ac:dyDescent="0.25">
      <c r="A20" s="11" t="s">
        <v>39</v>
      </c>
      <c r="B20" s="12">
        <v>2</v>
      </c>
      <c r="C20" s="11"/>
    </row>
    <row r="21" spans="1:5" x14ac:dyDescent="0.25">
      <c r="A21" s="11" t="s">
        <v>40</v>
      </c>
      <c r="B21" s="12">
        <v>26</v>
      </c>
      <c r="C21" s="11" t="s">
        <v>27</v>
      </c>
      <c r="E21" s="5" t="s">
        <v>41</v>
      </c>
    </row>
    <row r="22" spans="1:5" x14ac:dyDescent="0.25">
      <c r="A22" s="11" t="s">
        <v>42</v>
      </c>
      <c r="B22" s="12">
        <v>44</v>
      </c>
      <c r="C22" s="11" t="s">
        <v>27</v>
      </c>
    </row>
    <row r="23" spans="1:5" x14ac:dyDescent="0.25">
      <c r="A23" s="11" t="s">
        <v>43</v>
      </c>
      <c r="B23" s="12">
        <v>18</v>
      </c>
      <c r="C23" s="11" t="s">
        <v>32</v>
      </c>
    </row>
    <row r="25" spans="1:5" ht="31.5" customHeight="1" x14ac:dyDescent="0.25">
      <c r="A25" s="10" t="s">
        <v>44</v>
      </c>
      <c r="B25" s="10" t="s">
        <v>17</v>
      </c>
      <c r="C25" s="10"/>
    </row>
    <row r="26" spans="1:5" x14ac:dyDescent="0.25">
      <c r="A26" s="11" t="s">
        <v>45</v>
      </c>
      <c r="B26" s="14">
        <v>0.1</v>
      </c>
      <c r="E26" s="5" t="s">
        <v>46</v>
      </c>
    </row>
    <row r="27" spans="1:5" x14ac:dyDescent="0.25">
      <c r="A27" s="11" t="s">
        <v>47</v>
      </c>
      <c r="B27" s="14">
        <v>0.12</v>
      </c>
      <c r="E27" s="5" t="s">
        <v>48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showGridLines="0" zoomScaleNormal="100" workbookViewId="0"/>
  </sheetViews>
  <sheetFormatPr defaultColWidth="8.7109375" defaultRowHeight="15" x14ac:dyDescent="0.25"/>
  <cols>
    <col min="1" max="1" width="24" customWidth="1"/>
    <col min="2" max="3" width="10" customWidth="1"/>
    <col min="4" max="4" width="13" customWidth="1"/>
    <col min="5" max="6" width="11" customWidth="1"/>
    <col min="7" max="7" width="22" customWidth="1"/>
    <col min="8" max="8" width="24" customWidth="1"/>
    <col min="9" max="9" width="11" customWidth="1"/>
    <col min="10" max="10" width="24" customWidth="1"/>
    <col min="11" max="11" width="12" customWidth="1"/>
    <col min="12" max="12" width="24" customWidth="1"/>
    <col min="13" max="13" width="10" customWidth="1"/>
    <col min="14" max="14" width="8" customWidth="1"/>
  </cols>
  <sheetData>
    <row r="1" spans="1:14" ht="20.25" x14ac:dyDescent="0.3">
      <c r="A1" s="4" t="s">
        <v>49</v>
      </c>
    </row>
    <row r="2" spans="1:14" x14ac:dyDescent="0.25">
      <c r="A2" s="5" t="s">
        <v>50</v>
      </c>
    </row>
    <row r="4" spans="1:14" x14ac:dyDescent="0.25">
      <c r="A4" s="15" t="s">
        <v>51</v>
      </c>
    </row>
    <row r="5" spans="1:14" x14ac:dyDescent="0.25">
      <c r="A5" t="s">
        <v>52</v>
      </c>
      <c r="E5" s="16">
        <f>ROUNDUP(Datasheets!$B$17/(Datasheets!$B$8*(1-Datasheets!$B$27)),0)</f>
        <v>5</v>
      </c>
    </row>
    <row r="6" spans="1:14" x14ac:dyDescent="0.25">
      <c r="A6" t="s">
        <v>53</v>
      </c>
      <c r="E6" s="16">
        <f>ROUNDDOWN(Datasheets!$B$16/(Datasheets!$B$7*(1+Datasheets!$B$26)),0)</f>
        <v>9</v>
      </c>
    </row>
    <row r="8" spans="1:14" ht="57.75" customHeight="1" x14ac:dyDescent="0.25">
      <c r="A8" s="10" t="s">
        <v>54</v>
      </c>
      <c r="B8" s="10" t="s">
        <v>55</v>
      </c>
      <c r="C8" s="10" t="s">
        <v>56</v>
      </c>
      <c r="D8" s="10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  <c r="K8" s="10" t="s">
        <v>64</v>
      </c>
      <c r="L8" s="10" t="s">
        <v>65</v>
      </c>
      <c r="M8" s="10" t="s">
        <v>66</v>
      </c>
      <c r="N8" s="10" t="s">
        <v>67</v>
      </c>
    </row>
    <row r="9" spans="1:14" x14ac:dyDescent="0.25">
      <c r="A9" s="17">
        <v>1</v>
      </c>
      <c r="B9" s="12">
        <v>7</v>
      </c>
      <c r="C9" s="12">
        <v>1</v>
      </c>
      <c r="D9" s="18">
        <f>IF(AND(N(B9)&gt;0,N(C9)&gt;0),B9*Datasheets!$B$7*(1+Datasheets!$B$26),"")</f>
        <v>367.29000000000008</v>
      </c>
      <c r="E9" s="18">
        <f>IF(AND(N(B9)&gt;0,N(C9)&gt;0),B9*Datasheets!$B$8,"")</f>
        <v>276.08</v>
      </c>
      <c r="F9" s="18">
        <f>IF(AND(N(B9)&gt;0,N(C9)&gt;0),B9*Datasheets!$B$8*(1-Datasheets!$B$27),"")</f>
        <v>242.95039999999997</v>
      </c>
      <c r="G9" s="19" t="str">
        <f>IF(NOT(AND(N(B9)&gt;0,N(C9)&gt;0)),"",IF(1&gt;Datasheets!$B$19,"TOO MANY MPPTs",IF(D9&gt;Datasheets!$B$16,"TOO HIGH on cold mornings","OK")))</f>
        <v>OK</v>
      </c>
      <c r="H9" s="19" t="str">
        <f>IF(NOT(AND(N(B9)&gt;0,N(C9)&gt;0)),"",IF(F9&lt;Datasheets!$B$17,"LOW on hot days (output drops)",IF(E9&gt;Datasheets!$B$18,"CHECK: above working range","OK")))</f>
        <v>OK</v>
      </c>
      <c r="I9" s="20">
        <f>IF(AND(N(B9)&gt;0,N(C9)&gt;0),C9*Datasheets!$B$10,"")</f>
        <v>15.21</v>
      </c>
      <c r="J9" s="19" t="str">
        <f>IF(NOT(AND(N(B9)&gt;0,N(C9)&gt;0)),"",IF(C9&gt;Datasheets!$B$20,"TOO MANY strings for this MPPT",IF(I9&gt;Datasheets!$B$21,"CLIPPED (safe, some loss)","OK")))</f>
        <v>OK</v>
      </c>
      <c r="K9" s="20">
        <f>IF(AND(N(B9)&gt;0,N(C9)&gt;0),C9*Datasheets!$B$9,"")</f>
        <v>15.95</v>
      </c>
      <c r="L9" s="19" t="str">
        <f>IF(NOT(AND(N(B9)&gt;0,N(C9)&gt;0)),"",IF(K9&gt;Datasheets!$B$22,"UNSAFE: over Isc limit","OK"))</f>
        <v>OK</v>
      </c>
      <c r="M9" s="21">
        <f>IF(AND(N(B9)&gt;0,N(C9)&gt;0),B9*C9*Datasheets!$B$6/1000,"")</f>
        <v>4.2</v>
      </c>
      <c r="N9" s="18">
        <f t="shared" ref="N9:N14" si="0">IF(AND(N(B9)&gt;0,N(C9)&gt;0),B9*C9,"")</f>
        <v>7</v>
      </c>
    </row>
    <row r="10" spans="1:14" x14ac:dyDescent="0.25">
      <c r="A10" s="17">
        <v>2</v>
      </c>
      <c r="B10" s="12">
        <v>6</v>
      </c>
      <c r="C10" s="12">
        <v>1</v>
      </c>
      <c r="D10" s="18">
        <f>IF(AND(N(B10)&gt;0,N(C10)&gt;0),B10*Datasheets!$B$7*(1+Datasheets!$B$26),"")</f>
        <v>314.82000000000005</v>
      </c>
      <c r="E10" s="18">
        <f>IF(AND(N(B10)&gt;0,N(C10)&gt;0),B10*Datasheets!$B$8,"")</f>
        <v>236.64</v>
      </c>
      <c r="F10" s="18">
        <f>IF(AND(N(B10)&gt;0,N(C10)&gt;0),B10*Datasheets!$B$8*(1-Datasheets!$B$27),"")</f>
        <v>208.2432</v>
      </c>
      <c r="G10" s="19" t="str">
        <f>IF(NOT(AND(N(B10)&gt;0,N(C10)&gt;0)),"",IF(2&gt;Datasheets!$B$19,"TOO MANY MPPTs",IF(D10&gt;Datasheets!$B$16,"TOO HIGH on cold mornings","OK")))</f>
        <v>OK</v>
      </c>
      <c r="H10" s="19" t="str">
        <f>IF(NOT(AND(N(B10)&gt;0,N(C10)&gt;0)),"",IF(F10&lt;Datasheets!$B$17,"LOW on hot days (output drops)",IF(E10&gt;Datasheets!$B$18,"CHECK: above working range","OK")))</f>
        <v>OK</v>
      </c>
      <c r="I10" s="20">
        <f>IF(AND(N(B10)&gt;0,N(C10)&gt;0),C10*Datasheets!$B$10,"")</f>
        <v>15.21</v>
      </c>
      <c r="J10" s="19" t="str">
        <f>IF(NOT(AND(N(B10)&gt;0,N(C10)&gt;0)),"",IF(C10&gt;Datasheets!$B$20,"TOO MANY strings for this MPPT",IF(I10&gt;Datasheets!$B$21,"CLIPPED (safe, some loss)","OK")))</f>
        <v>OK</v>
      </c>
      <c r="K10" s="20">
        <f>IF(AND(N(B10)&gt;0,N(C10)&gt;0),C10*Datasheets!$B$9,"")</f>
        <v>15.95</v>
      </c>
      <c r="L10" s="19" t="str">
        <f>IF(NOT(AND(N(B10)&gt;0,N(C10)&gt;0)),"",IF(K10&gt;Datasheets!$B$22,"UNSAFE: over Isc limit","OK"))</f>
        <v>OK</v>
      </c>
      <c r="M10" s="21">
        <f>IF(AND(N(B10)&gt;0,N(C10)&gt;0),B10*C10*Datasheets!$B$6/1000,"")</f>
        <v>3.6</v>
      </c>
      <c r="N10" s="18">
        <f t="shared" si="0"/>
        <v>6</v>
      </c>
    </row>
    <row r="11" spans="1:14" x14ac:dyDescent="0.25">
      <c r="A11" s="17">
        <v>3</v>
      </c>
      <c r="B11" s="12"/>
      <c r="C11" s="12"/>
      <c r="D11" s="18" t="str">
        <f>IF(AND(N(B11)&gt;0,N(C11)&gt;0),B11*Datasheets!$B$7*(1+Datasheets!$B$26),"")</f>
        <v/>
      </c>
      <c r="E11" s="18" t="str">
        <f>IF(AND(N(B11)&gt;0,N(C11)&gt;0),B11*Datasheets!$B$8,"")</f>
        <v/>
      </c>
      <c r="F11" s="18" t="str">
        <f>IF(AND(N(B11)&gt;0,N(C11)&gt;0),B11*Datasheets!$B$8*(1-Datasheets!$B$27),"")</f>
        <v/>
      </c>
      <c r="G11" s="19" t="str">
        <f>IF(NOT(AND(N(B11)&gt;0,N(C11)&gt;0)),"",IF(3&gt;Datasheets!$B$19,"TOO MANY MPPTs",IF(D11&gt;Datasheets!$B$16,"TOO HIGH on cold mornings","OK")))</f>
        <v/>
      </c>
      <c r="H11" s="19" t="str">
        <f>IF(NOT(AND(N(B11)&gt;0,N(C11)&gt;0)),"",IF(F11&lt;Datasheets!$B$17,"LOW on hot days (output drops)",IF(E11&gt;Datasheets!$B$18,"CHECK: above working range","OK")))</f>
        <v/>
      </c>
      <c r="I11" s="20" t="str">
        <f>IF(AND(N(B11)&gt;0,N(C11)&gt;0),C11*Datasheets!$B$10,"")</f>
        <v/>
      </c>
      <c r="J11" s="19" t="str">
        <f>IF(NOT(AND(N(B11)&gt;0,N(C11)&gt;0)),"",IF(C11&gt;Datasheets!$B$20,"TOO MANY strings for this MPPT",IF(I11&gt;Datasheets!$B$21,"CLIPPED (safe, some loss)","OK")))</f>
        <v/>
      </c>
      <c r="K11" s="20" t="str">
        <f>IF(AND(N(B11)&gt;0,N(C11)&gt;0),C11*Datasheets!$B$9,"")</f>
        <v/>
      </c>
      <c r="L11" s="19" t="str">
        <f>IF(NOT(AND(N(B11)&gt;0,N(C11)&gt;0)),"",IF(K11&gt;Datasheets!$B$22,"UNSAFE: over Isc limit","OK"))</f>
        <v/>
      </c>
      <c r="M11" s="21" t="str">
        <f>IF(AND(N(B11)&gt;0,N(C11)&gt;0),B11*C11*Datasheets!$B$6/1000,"")</f>
        <v/>
      </c>
      <c r="N11" s="18" t="str">
        <f t="shared" si="0"/>
        <v/>
      </c>
    </row>
    <row r="12" spans="1:14" x14ac:dyDescent="0.25">
      <c r="A12" s="17">
        <v>4</v>
      </c>
      <c r="B12" s="12"/>
      <c r="C12" s="12"/>
      <c r="D12" s="18" t="str">
        <f>IF(AND(N(B12)&gt;0,N(C12)&gt;0),B12*Datasheets!$B$7*(1+Datasheets!$B$26),"")</f>
        <v/>
      </c>
      <c r="E12" s="18" t="str">
        <f>IF(AND(N(B12)&gt;0,N(C12)&gt;0),B12*Datasheets!$B$8,"")</f>
        <v/>
      </c>
      <c r="F12" s="18" t="str">
        <f>IF(AND(N(B12)&gt;0,N(C12)&gt;0),B12*Datasheets!$B$8*(1-Datasheets!$B$27),"")</f>
        <v/>
      </c>
      <c r="G12" s="19" t="str">
        <f>IF(NOT(AND(N(B12)&gt;0,N(C12)&gt;0)),"",IF(4&gt;Datasheets!$B$19,"TOO MANY MPPTs",IF(D12&gt;Datasheets!$B$16,"TOO HIGH on cold mornings","OK")))</f>
        <v/>
      </c>
      <c r="H12" s="19" t="str">
        <f>IF(NOT(AND(N(B12)&gt;0,N(C12)&gt;0)),"",IF(F12&lt;Datasheets!$B$17,"LOW on hot days (output drops)",IF(E12&gt;Datasheets!$B$18,"CHECK: above working range","OK")))</f>
        <v/>
      </c>
      <c r="I12" s="20" t="str">
        <f>IF(AND(N(B12)&gt;0,N(C12)&gt;0),C12*Datasheets!$B$10,"")</f>
        <v/>
      </c>
      <c r="J12" s="19" t="str">
        <f>IF(NOT(AND(N(B12)&gt;0,N(C12)&gt;0)),"",IF(C12&gt;Datasheets!$B$20,"TOO MANY strings for this MPPT",IF(I12&gt;Datasheets!$B$21,"CLIPPED (safe, some loss)","OK")))</f>
        <v/>
      </c>
      <c r="K12" s="20" t="str">
        <f>IF(AND(N(B12)&gt;0,N(C12)&gt;0),C12*Datasheets!$B$9,"")</f>
        <v/>
      </c>
      <c r="L12" s="19" t="str">
        <f>IF(NOT(AND(N(B12)&gt;0,N(C12)&gt;0)),"",IF(K12&gt;Datasheets!$B$22,"UNSAFE: over Isc limit","OK"))</f>
        <v/>
      </c>
      <c r="M12" s="21" t="str">
        <f>IF(AND(N(B12)&gt;0,N(C12)&gt;0),B12*C12*Datasheets!$B$6/1000,"")</f>
        <v/>
      </c>
      <c r="N12" s="18" t="str">
        <f t="shared" si="0"/>
        <v/>
      </c>
    </row>
    <row r="13" spans="1:14" x14ac:dyDescent="0.25">
      <c r="A13" s="17">
        <v>5</v>
      </c>
      <c r="B13" s="12"/>
      <c r="C13" s="12"/>
      <c r="D13" s="18" t="str">
        <f>IF(AND(N(B13)&gt;0,N(C13)&gt;0),B13*Datasheets!$B$7*(1+Datasheets!$B$26),"")</f>
        <v/>
      </c>
      <c r="E13" s="18" t="str">
        <f>IF(AND(N(B13)&gt;0,N(C13)&gt;0),B13*Datasheets!$B$8,"")</f>
        <v/>
      </c>
      <c r="F13" s="18" t="str">
        <f>IF(AND(N(B13)&gt;0,N(C13)&gt;0),B13*Datasheets!$B$8*(1-Datasheets!$B$27),"")</f>
        <v/>
      </c>
      <c r="G13" s="19" t="str">
        <f>IF(NOT(AND(N(B13)&gt;0,N(C13)&gt;0)),"",IF(5&gt;Datasheets!$B$19,"TOO MANY MPPTs",IF(D13&gt;Datasheets!$B$16,"TOO HIGH on cold mornings","OK")))</f>
        <v/>
      </c>
      <c r="H13" s="19" t="str">
        <f>IF(NOT(AND(N(B13)&gt;0,N(C13)&gt;0)),"",IF(F13&lt;Datasheets!$B$17,"LOW on hot days (output drops)",IF(E13&gt;Datasheets!$B$18,"CHECK: above working range","OK")))</f>
        <v/>
      </c>
      <c r="I13" s="20" t="str">
        <f>IF(AND(N(B13)&gt;0,N(C13)&gt;0),C13*Datasheets!$B$10,"")</f>
        <v/>
      </c>
      <c r="J13" s="19" t="str">
        <f>IF(NOT(AND(N(B13)&gt;0,N(C13)&gt;0)),"",IF(C13&gt;Datasheets!$B$20,"TOO MANY strings for this MPPT",IF(I13&gt;Datasheets!$B$21,"CLIPPED (safe, some loss)","OK")))</f>
        <v/>
      </c>
      <c r="K13" s="20" t="str">
        <f>IF(AND(N(B13)&gt;0,N(C13)&gt;0),C13*Datasheets!$B$9,"")</f>
        <v/>
      </c>
      <c r="L13" s="19" t="str">
        <f>IF(NOT(AND(N(B13)&gt;0,N(C13)&gt;0)),"",IF(K13&gt;Datasheets!$B$22,"UNSAFE: over Isc limit","OK"))</f>
        <v/>
      </c>
      <c r="M13" s="21" t="str">
        <f>IF(AND(N(B13)&gt;0,N(C13)&gt;0),B13*C13*Datasheets!$B$6/1000,"")</f>
        <v/>
      </c>
      <c r="N13" s="18" t="str">
        <f t="shared" si="0"/>
        <v/>
      </c>
    </row>
    <row r="14" spans="1:14" x14ac:dyDescent="0.25">
      <c r="A14" s="17">
        <v>6</v>
      </c>
      <c r="B14" s="12"/>
      <c r="C14" s="12"/>
      <c r="D14" s="18" t="str">
        <f>IF(AND(N(B14)&gt;0,N(C14)&gt;0),B14*Datasheets!$B$7*(1+Datasheets!$B$26),"")</f>
        <v/>
      </c>
      <c r="E14" s="18" t="str">
        <f>IF(AND(N(B14)&gt;0,N(C14)&gt;0),B14*Datasheets!$B$8,"")</f>
        <v/>
      </c>
      <c r="F14" s="18" t="str">
        <f>IF(AND(N(B14)&gt;0,N(C14)&gt;0),B14*Datasheets!$B$8*(1-Datasheets!$B$27),"")</f>
        <v/>
      </c>
      <c r="G14" s="19" t="str">
        <f>IF(NOT(AND(N(B14)&gt;0,N(C14)&gt;0)),"",IF(6&gt;Datasheets!$B$19,"TOO MANY MPPTs",IF(D14&gt;Datasheets!$B$16,"TOO HIGH on cold mornings","OK")))</f>
        <v/>
      </c>
      <c r="H14" s="19" t="str">
        <f>IF(NOT(AND(N(B14)&gt;0,N(C14)&gt;0)),"",IF(F14&lt;Datasheets!$B$17,"LOW on hot days (output drops)",IF(E14&gt;Datasheets!$B$18,"CHECK: above working range","OK")))</f>
        <v/>
      </c>
      <c r="I14" s="20" t="str">
        <f>IF(AND(N(B14)&gt;0,N(C14)&gt;0),C14*Datasheets!$B$10,"")</f>
        <v/>
      </c>
      <c r="J14" s="19" t="str">
        <f>IF(NOT(AND(N(B14)&gt;0,N(C14)&gt;0)),"",IF(C14&gt;Datasheets!$B$20,"TOO MANY strings for this MPPT",IF(I14&gt;Datasheets!$B$21,"CLIPPED (safe, some loss)","OK")))</f>
        <v/>
      </c>
      <c r="K14" s="20" t="str">
        <f>IF(AND(N(B14)&gt;0,N(C14)&gt;0),C14*Datasheets!$B$9,"")</f>
        <v/>
      </c>
      <c r="L14" s="19" t="str">
        <f>IF(NOT(AND(N(B14)&gt;0,N(C14)&gt;0)),"",IF(K14&gt;Datasheets!$B$22,"UNSAFE: over Isc limit","OK"))</f>
        <v/>
      </c>
      <c r="M14" s="21" t="str">
        <f>IF(AND(N(B14)&gt;0,N(C14)&gt;0),B14*C14*Datasheets!$B$6/1000,"")</f>
        <v/>
      </c>
      <c r="N14" s="18" t="str">
        <f t="shared" si="0"/>
        <v/>
      </c>
    </row>
    <row r="16" spans="1:14" x14ac:dyDescent="0.25">
      <c r="A16" s="22" t="s">
        <v>68</v>
      </c>
    </row>
    <row r="17" spans="1:4" x14ac:dyDescent="0.25">
      <c r="A17" s="15" t="s">
        <v>69</v>
      </c>
      <c r="B17" s="23">
        <f>SUM(N9:N14)</f>
        <v>13</v>
      </c>
      <c r="D17" s="5" t="s">
        <v>70</v>
      </c>
    </row>
    <row r="18" spans="1:4" x14ac:dyDescent="0.25">
      <c r="A18" s="15" t="s">
        <v>71</v>
      </c>
      <c r="B18" s="24">
        <f>SUM(M9:M14)</f>
        <v>7.8000000000000007</v>
      </c>
    </row>
    <row r="19" spans="1:4" x14ac:dyDescent="0.25">
      <c r="A19" s="15" t="s">
        <v>72</v>
      </c>
      <c r="B19" s="25" t="str">
        <f>IF(B18=0,"",IF(B18&gt;Datasheets!$B$23,"TOO BIG for this inverter","OK"))</f>
        <v>OK</v>
      </c>
    </row>
    <row r="20" spans="1:4" x14ac:dyDescent="0.25">
      <c r="A20" s="15" t="s">
        <v>73</v>
      </c>
      <c r="B20" s="26">
        <f>IF(Datasheets!$B$14=0,"",B18/Datasheets!$B$14)</f>
        <v>0.65</v>
      </c>
    </row>
    <row r="21" spans="1:4" x14ac:dyDescent="0.25">
      <c r="A21" s="15" t="s">
        <v>74</v>
      </c>
      <c r="B21" s="25" t="str">
        <f>IF(B20="","",IF(B20&lt;0.9,"OK: room to add panels later",IF(B20&lt;=1.5,"OK","CHECK: heavy oversizing, more clipping")))</f>
        <v>OK: room to add panels later</v>
      </c>
    </row>
  </sheetData>
  <conditionalFormatting sqref="B19">
    <cfRule type="expression" dxfId="20" priority="14">
      <formula>LEFT(B19,2)="OK"</formula>
    </cfRule>
    <cfRule type="expression" dxfId="19" priority="15">
      <formula>OR(LEFT(B19,4)="TOO ",LEFT(B19,6)="UNSAFE",LEFT(B19,5)="SHORT")</formula>
    </cfRule>
    <cfRule type="expression" dxfId="18" priority="16">
      <formula>OR(LEFT(B19,4)="LOW ",LEFT(B19,7)="CLIPPED",LEFT(B19,5)="CHECK")</formula>
    </cfRule>
  </conditionalFormatting>
  <conditionalFormatting sqref="B21">
    <cfRule type="expression" dxfId="17" priority="17">
      <formula>LEFT(B21,2)="OK"</formula>
    </cfRule>
    <cfRule type="expression" dxfId="16" priority="18">
      <formula>OR(LEFT(B21,4)="TOO ",LEFT(B21,6)="UNSAFE",LEFT(B21,5)="SHORT")</formula>
    </cfRule>
    <cfRule type="expression" dxfId="15" priority="19">
      <formula>OR(LEFT(B21,4)="LOW ",LEFT(B21,7)="CLIPPED",LEFT(B21,5)="CHECK")</formula>
    </cfRule>
  </conditionalFormatting>
  <conditionalFormatting sqref="G9:H14">
    <cfRule type="expression" dxfId="14" priority="2">
      <formula>LEFT(G9,2)="OK"</formula>
    </cfRule>
    <cfRule type="expression" dxfId="13" priority="3">
      <formula>OR(LEFT(G9,4)="TOO ",LEFT(G9,6)="UNSAFE",LEFT(G9,5)="SHORT")</formula>
    </cfRule>
    <cfRule type="expression" dxfId="12" priority="4">
      <formula>OR(LEFT(G9,4)="LOW ",LEFT(G9,7)="CLIPPED",LEFT(G9,5)="CHECK")</formula>
    </cfRule>
  </conditionalFormatting>
  <conditionalFormatting sqref="J9:J14">
    <cfRule type="expression" dxfId="11" priority="8">
      <formula>LEFT(J9,2)="OK"</formula>
    </cfRule>
    <cfRule type="expression" dxfId="10" priority="9">
      <formula>OR(LEFT(J9,4)="TOO ",LEFT(J9,6)="UNSAFE",LEFT(J9,5)="SHORT")</formula>
    </cfRule>
    <cfRule type="expression" dxfId="9" priority="10">
      <formula>OR(LEFT(J9,4)="LOW ",LEFT(J9,7)="CLIPPED",LEFT(J9,5)="CHECK")</formula>
    </cfRule>
  </conditionalFormatting>
  <conditionalFormatting sqref="L9:L14">
    <cfRule type="expression" dxfId="8" priority="11">
      <formula>LEFT(L9,2)="OK"</formula>
    </cfRule>
    <cfRule type="expression" dxfId="7" priority="12">
      <formula>OR(LEFT(L9,4)="TOO ",LEFT(L9,6)="UNSAFE",LEFT(L9,5)="SHORT")</formula>
    </cfRule>
    <cfRule type="expression" dxfId="6" priority="13">
      <formula>OR(LEFT(L9,4)="LOW ",LEFT(L9,7)="CLIPPED",LEFT(L9,5)="CHECK")</formula>
    </cfRule>
  </conditionalFormatting>
  <dataValidations count="1">
    <dataValidation type="whole" allowBlank="1" sqref="B9:C14" xr:uid="{00000000-0002-0000-0200-000000000000}">
      <formula1>0</formula1>
      <formula2>40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showGridLines="0" topLeftCell="A3" zoomScaleNormal="100" workbookViewId="0">
      <selection activeCell="N26" sqref="N26"/>
    </sheetView>
  </sheetViews>
  <sheetFormatPr defaultColWidth="8.7109375" defaultRowHeight="15" x14ac:dyDescent="0.25"/>
  <cols>
    <col min="1" max="1" width="54.140625" customWidth="1"/>
    <col min="2" max="3" width="14" customWidth="1"/>
    <col min="4" max="4" width="16" customWidth="1"/>
    <col min="5" max="5" width="18" customWidth="1"/>
    <col min="6" max="6" width="4" customWidth="1"/>
  </cols>
  <sheetData>
    <row r="1" spans="1:5" ht="20.25" x14ac:dyDescent="0.3">
      <c r="A1" s="4" t="s">
        <v>75</v>
      </c>
    </row>
    <row r="2" spans="1:5" x14ac:dyDescent="0.25">
      <c r="A2" s="5" t="s">
        <v>76</v>
      </c>
    </row>
    <row r="4" spans="1:5" ht="43.5" customHeight="1" x14ac:dyDescent="0.25">
      <c r="A4" s="10" t="s">
        <v>77</v>
      </c>
      <c r="B4" s="10" t="s">
        <v>78</v>
      </c>
      <c r="C4" s="10" t="s">
        <v>79</v>
      </c>
      <c r="D4" s="10" t="s">
        <v>80</v>
      </c>
      <c r="E4" s="10" t="s">
        <v>81</v>
      </c>
    </row>
    <row r="5" spans="1:5" x14ac:dyDescent="0.25">
      <c r="A5" s="12" t="s">
        <v>82</v>
      </c>
      <c r="B5" s="27">
        <v>3000</v>
      </c>
      <c r="C5" s="12" t="s">
        <v>83</v>
      </c>
      <c r="D5" s="28"/>
      <c r="E5" s="29">
        <f t="shared" ref="E5:E24" si="0">IF(AND(C5="Y",N(B5)&gt;0),B5*(IF(N(D5)=0,3,D5)-1),0)</f>
        <v>0</v>
      </c>
    </row>
    <row r="6" spans="1:5" x14ac:dyDescent="0.25">
      <c r="A6" s="12" t="s">
        <v>84</v>
      </c>
      <c r="B6" s="27">
        <v>2000</v>
      </c>
      <c r="C6" s="12" t="s">
        <v>83</v>
      </c>
      <c r="D6" s="28"/>
      <c r="E6" s="29">
        <f t="shared" si="0"/>
        <v>0</v>
      </c>
    </row>
    <row r="7" spans="1:5" x14ac:dyDescent="0.25">
      <c r="A7" s="12" t="s">
        <v>85</v>
      </c>
      <c r="B7" s="27">
        <v>1000</v>
      </c>
      <c r="C7" s="12" t="s">
        <v>83</v>
      </c>
      <c r="D7" s="28"/>
      <c r="E7" s="29">
        <f t="shared" si="0"/>
        <v>0</v>
      </c>
    </row>
    <row r="8" spans="1:5" x14ac:dyDescent="0.25">
      <c r="A8" s="12" t="s">
        <v>86</v>
      </c>
      <c r="B8" s="27">
        <v>150</v>
      </c>
      <c r="C8" s="12" t="s">
        <v>87</v>
      </c>
      <c r="D8" s="28">
        <v>3</v>
      </c>
      <c r="E8" s="29">
        <f t="shared" si="0"/>
        <v>300</v>
      </c>
    </row>
    <row r="9" spans="1:5" x14ac:dyDescent="0.25">
      <c r="A9" s="12" t="s">
        <v>88</v>
      </c>
      <c r="B9" s="27">
        <v>750</v>
      </c>
      <c r="C9" s="12" t="s">
        <v>87</v>
      </c>
      <c r="D9" s="28">
        <v>3</v>
      </c>
      <c r="E9" s="29">
        <f t="shared" si="0"/>
        <v>1500</v>
      </c>
    </row>
    <row r="10" spans="1:5" x14ac:dyDescent="0.25">
      <c r="A10" s="12" t="s">
        <v>89</v>
      </c>
      <c r="B10" s="27">
        <v>150</v>
      </c>
      <c r="C10" s="12" t="s">
        <v>83</v>
      </c>
      <c r="D10" s="28"/>
      <c r="E10" s="29">
        <f t="shared" si="0"/>
        <v>0</v>
      </c>
    </row>
    <row r="11" spans="1:5" x14ac:dyDescent="0.25">
      <c r="A11" s="12" t="s">
        <v>90</v>
      </c>
      <c r="B11" s="27">
        <v>200</v>
      </c>
      <c r="C11" s="12" t="s">
        <v>83</v>
      </c>
      <c r="D11" s="28"/>
      <c r="E11" s="29">
        <f t="shared" si="0"/>
        <v>0</v>
      </c>
    </row>
    <row r="12" spans="1:5" x14ac:dyDescent="0.25">
      <c r="A12" s="12"/>
      <c r="B12" s="27"/>
      <c r="C12" s="12"/>
      <c r="D12" s="28"/>
      <c r="E12" s="29">
        <f t="shared" si="0"/>
        <v>0</v>
      </c>
    </row>
    <row r="13" spans="1:5" x14ac:dyDescent="0.25">
      <c r="A13" s="12"/>
      <c r="B13" s="27"/>
      <c r="C13" s="12"/>
      <c r="D13" s="28"/>
      <c r="E13" s="29">
        <f t="shared" si="0"/>
        <v>0</v>
      </c>
    </row>
    <row r="14" spans="1:5" x14ac:dyDescent="0.25">
      <c r="A14" s="12"/>
      <c r="B14" s="27"/>
      <c r="C14" s="12"/>
      <c r="D14" s="28"/>
      <c r="E14" s="29">
        <f t="shared" si="0"/>
        <v>0</v>
      </c>
    </row>
    <row r="15" spans="1:5" x14ac:dyDescent="0.25">
      <c r="A15" s="12"/>
      <c r="B15" s="27"/>
      <c r="C15" s="12"/>
      <c r="D15" s="28"/>
      <c r="E15" s="29">
        <f t="shared" si="0"/>
        <v>0</v>
      </c>
    </row>
    <row r="16" spans="1:5" x14ac:dyDescent="0.25">
      <c r="A16" s="12"/>
      <c r="B16" s="27"/>
      <c r="C16" s="12"/>
      <c r="D16" s="28"/>
      <c r="E16" s="29">
        <f t="shared" si="0"/>
        <v>0</v>
      </c>
    </row>
    <row r="17" spans="1:5" x14ac:dyDescent="0.25">
      <c r="A17" s="12"/>
      <c r="B17" s="27"/>
      <c r="C17" s="12"/>
      <c r="D17" s="28"/>
      <c r="E17" s="29">
        <f t="shared" si="0"/>
        <v>0</v>
      </c>
    </row>
    <row r="18" spans="1:5" x14ac:dyDescent="0.25">
      <c r="A18" s="12"/>
      <c r="B18" s="27"/>
      <c r="C18" s="12"/>
      <c r="D18" s="28"/>
      <c r="E18" s="29">
        <f t="shared" si="0"/>
        <v>0</v>
      </c>
    </row>
    <row r="19" spans="1:5" x14ac:dyDescent="0.25">
      <c r="A19" s="12"/>
      <c r="B19" s="27"/>
      <c r="C19" s="12"/>
      <c r="D19" s="28"/>
      <c r="E19" s="29">
        <f t="shared" si="0"/>
        <v>0</v>
      </c>
    </row>
    <row r="20" spans="1:5" x14ac:dyDescent="0.25">
      <c r="A20" s="12"/>
      <c r="B20" s="27"/>
      <c r="C20" s="12"/>
      <c r="D20" s="28"/>
      <c r="E20" s="29">
        <f t="shared" si="0"/>
        <v>0</v>
      </c>
    </row>
    <row r="21" spans="1:5" x14ac:dyDescent="0.25">
      <c r="A21" s="12"/>
      <c r="B21" s="27"/>
      <c r="C21" s="12"/>
      <c r="D21" s="28"/>
      <c r="E21" s="29">
        <f t="shared" si="0"/>
        <v>0</v>
      </c>
    </row>
    <row r="22" spans="1:5" x14ac:dyDescent="0.25">
      <c r="A22" s="12"/>
      <c r="B22" s="27"/>
      <c r="C22" s="12"/>
      <c r="D22" s="28"/>
      <c r="E22" s="29">
        <f t="shared" si="0"/>
        <v>0</v>
      </c>
    </row>
    <row r="23" spans="1:5" x14ac:dyDescent="0.25">
      <c r="A23" s="12"/>
      <c r="B23" s="27"/>
      <c r="C23" s="12"/>
      <c r="D23" s="28"/>
      <c r="E23" s="29">
        <f t="shared" si="0"/>
        <v>0</v>
      </c>
    </row>
    <row r="24" spans="1:5" x14ac:dyDescent="0.25">
      <c r="A24" s="12"/>
      <c r="B24" s="27"/>
      <c r="C24" s="12"/>
      <c r="D24" s="28"/>
      <c r="E24" s="29">
        <f t="shared" si="0"/>
        <v>0</v>
      </c>
    </row>
    <row r="27" spans="1:5" x14ac:dyDescent="0.25">
      <c r="A27" s="15" t="s">
        <v>91</v>
      </c>
      <c r="B27" s="3">
        <f>SUM(B5:B24)/1000</f>
        <v>7.25</v>
      </c>
      <c r="C27" s="3"/>
      <c r="D27" s="3"/>
      <c r="E27" s="3"/>
    </row>
    <row r="28" spans="1:5" x14ac:dyDescent="0.25">
      <c r="A28" s="15" t="s">
        <v>92</v>
      </c>
      <c r="B28" s="3">
        <f>MAX(E5:E24)/1000</f>
        <v>1.5</v>
      </c>
      <c r="C28" s="3"/>
      <c r="D28" s="3"/>
      <c r="E28" s="3"/>
    </row>
    <row r="29" spans="1:5" x14ac:dyDescent="0.25">
      <c r="A29" s="15" t="s">
        <v>93</v>
      </c>
      <c r="B29" s="3">
        <f>B27+B28</f>
        <v>8.75</v>
      </c>
      <c r="C29" s="3"/>
      <c r="D29" s="3"/>
      <c r="E29" s="3"/>
    </row>
    <row r="30" spans="1:5" x14ac:dyDescent="0.25">
      <c r="A30" s="15" t="s">
        <v>94</v>
      </c>
      <c r="B30" s="3">
        <f>Datasheets!$B$14</f>
        <v>12</v>
      </c>
      <c r="C30" s="3"/>
      <c r="D30" s="3"/>
      <c r="E30" s="3"/>
    </row>
    <row r="31" spans="1:5" x14ac:dyDescent="0.25">
      <c r="A31" s="15" t="s">
        <v>95</v>
      </c>
      <c r="B31" s="3">
        <f>Datasheets!$B$15</f>
        <v>24</v>
      </c>
      <c r="C31" s="3"/>
      <c r="D31" s="3"/>
      <c r="E31" s="3"/>
    </row>
    <row r="32" spans="1:5" x14ac:dyDescent="0.25">
      <c r="A32" s="15" t="s">
        <v>96</v>
      </c>
      <c r="B32" s="2" t="str">
        <f>IF(B27=0,"",IF(B27&gt;B30,"TOO MUCH for this inverter: stagger loads or go bigger",IF(B27&gt;0.8*B30,"CHECK: under 20% headroom","OK")))</f>
        <v>OK</v>
      </c>
      <c r="C32" s="2"/>
      <c r="D32" s="2"/>
      <c r="E32" s="2"/>
    </row>
    <row r="33" spans="1:5" x14ac:dyDescent="0.25">
      <c r="A33" s="15" t="s">
        <v>97</v>
      </c>
      <c r="B33" s="2" t="str">
        <f>IF(B29=0,"",IF(B29&gt;B31,"TOO MUCH at start-up: motors may trip it","OK"))</f>
        <v>OK</v>
      </c>
      <c r="C33" s="2"/>
      <c r="D33" s="2"/>
      <c r="E33" s="2"/>
    </row>
    <row r="34" spans="1:5" x14ac:dyDescent="0.25">
      <c r="A34" s="15" t="s">
        <v>98</v>
      </c>
      <c r="B34" s="1">
        <f>MAX(8,CEILING(B27*1.25,1))</f>
        <v>10</v>
      </c>
      <c r="C34" s="1"/>
      <c r="D34" s="1"/>
      <c r="E34" s="1"/>
    </row>
    <row r="36" spans="1:5" x14ac:dyDescent="0.25">
      <c r="A36" s="5" t="s">
        <v>99</v>
      </c>
    </row>
    <row r="37" spans="1:5" x14ac:dyDescent="0.25">
      <c r="A37" s="5" t="s">
        <v>100</v>
      </c>
    </row>
  </sheetData>
  <mergeCells count="8">
    <mergeCell ref="B32:E32"/>
    <mergeCell ref="B33:E33"/>
    <mergeCell ref="B34:E34"/>
    <mergeCell ref="B27:E27"/>
    <mergeCell ref="B28:E28"/>
    <mergeCell ref="B29:E29"/>
    <mergeCell ref="B30:E30"/>
    <mergeCell ref="B31:E31"/>
  </mergeCells>
  <conditionalFormatting sqref="B32:E33">
    <cfRule type="expression" dxfId="5" priority="2">
      <formula>LEFT(B32,2)="OK"</formula>
    </cfRule>
    <cfRule type="expression" dxfId="4" priority="3">
      <formula>OR(LEFT(B32,4)="TOO ",LEFT(B32,6)="UNSAFE",LEFT(B32,5)="SHORT")</formula>
    </cfRule>
    <cfRule type="expression" dxfId="3" priority="4">
      <formula>OR(LEFT(B32,4)="LOW ",LEFT(B32,7)="CLIPPED",LEFT(B32,5)="CHECK")</formula>
    </cfRule>
  </conditionalFormatting>
  <dataValidations count="1">
    <dataValidation type="list" allowBlank="1" sqref="C5:C24" xr:uid="{00000000-0002-0000-0300-000000000000}">
      <formula1>"Y,N"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tabSelected="1" zoomScaleNormal="100" workbookViewId="0">
      <selection activeCell="D22" sqref="D22"/>
    </sheetView>
  </sheetViews>
  <sheetFormatPr defaultColWidth="8.7109375" defaultRowHeight="15" x14ac:dyDescent="0.25"/>
  <cols>
    <col min="1" max="1" width="34" customWidth="1"/>
    <col min="2" max="2" width="58" customWidth="1"/>
    <col min="3" max="3" width="14" customWidth="1"/>
    <col min="4" max="4" width="16" customWidth="1"/>
    <col min="5" max="5" width="26" customWidth="1"/>
  </cols>
  <sheetData>
    <row r="1" spans="1:5" ht="20.25" x14ac:dyDescent="0.3">
      <c r="A1" s="4" t="s">
        <v>101</v>
      </c>
    </row>
    <row r="2" spans="1:5" x14ac:dyDescent="0.25">
      <c r="A2" s="5" t="s">
        <v>102</v>
      </c>
    </row>
    <row r="4" spans="1:5" ht="31.5" customHeight="1" x14ac:dyDescent="0.25">
      <c r="A4" s="10" t="s">
        <v>103</v>
      </c>
      <c r="B4" s="10" t="s">
        <v>104</v>
      </c>
      <c r="C4" s="10" t="s">
        <v>105</v>
      </c>
      <c r="D4" s="10" t="s">
        <v>106</v>
      </c>
      <c r="E4" s="10" t="s">
        <v>107</v>
      </c>
    </row>
    <row r="5" spans="1:5" x14ac:dyDescent="0.25">
      <c r="A5" s="30" t="s">
        <v>108</v>
      </c>
      <c r="B5" s="31" t="s">
        <v>109</v>
      </c>
      <c r="C5" s="12"/>
      <c r="D5" s="12"/>
      <c r="E5" s="19" t="str">
        <f t="shared" ref="E5:E17" si="0">IF(OR(C5="",D5=""),"",IF(AND(C5="Must have",D5="No"),"SHORT: missing a must-have",IF(AND(C5="Must have",D5="Not sure"),"CHECK with installer","OK")))</f>
        <v/>
      </c>
    </row>
    <row r="6" spans="1:5" x14ac:dyDescent="0.25">
      <c r="A6" s="30" t="s">
        <v>110</v>
      </c>
      <c r="B6" s="31" t="s">
        <v>111</v>
      </c>
      <c r="C6" s="12"/>
      <c r="D6" s="12"/>
      <c r="E6" s="19" t="str">
        <f t="shared" si="0"/>
        <v/>
      </c>
    </row>
    <row r="7" spans="1:5" x14ac:dyDescent="0.25">
      <c r="A7" s="30" t="s">
        <v>112</v>
      </c>
      <c r="B7" s="31" t="s">
        <v>113</v>
      </c>
      <c r="C7" s="12"/>
      <c r="D7" s="12"/>
      <c r="E7" s="19" t="str">
        <f t="shared" si="0"/>
        <v/>
      </c>
    </row>
    <row r="8" spans="1:5" x14ac:dyDescent="0.25">
      <c r="A8" s="30" t="s">
        <v>114</v>
      </c>
      <c r="B8" s="31" t="s">
        <v>115</v>
      </c>
      <c r="C8" s="12"/>
      <c r="D8" s="12"/>
      <c r="E8" s="19" t="str">
        <f t="shared" si="0"/>
        <v/>
      </c>
    </row>
    <row r="9" spans="1:5" x14ac:dyDescent="0.25">
      <c r="A9" s="30" t="s">
        <v>116</v>
      </c>
      <c r="B9" s="31" t="s">
        <v>117</v>
      </c>
      <c r="C9" s="12"/>
      <c r="D9" s="12"/>
      <c r="E9" s="19" t="str">
        <f t="shared" si="0"/>
        <v/>
      </c>
    </row>
    <row r="10" spans="1:5" ht="30" x14ac:dyDescent="0.25">
      <c r="A10" s="30" t="s">
        <v>118</v>
      </c>
      <c r="B10" s="31" t="s">
        <v>119</v>
      </c>
      <c r="C10" s="12"/>
      <c r="D10" s="12"/>
      <c r="E10" s="19" t="str">
        <f t="shared" si="0"/>
        <v/>
      </c>
    </row>
    <row r="11" spans="1:5" x14ac:dyDescent="0.25">
      <c r="A11" s="30" t="s">
        <v>120</v>
      </c>
      <c r="B11" s="31" t="s">
        <v>121</v>
      </c>
      <c r="C11" s="12"/>
      <c r="D11" s="12"/>
      <c r="E11" s="19" t="str">
        <f t="shared" si="0"/>
        <v/>
      </c>
    </row>
    <row r="12" spans="1:5" x14ac:dyDescent="0.25">
      <c r="A12" s="30" t="s">
        <v>122</v>
      </c>
      <c r="B12" s="31" t="s">
        <v>123</v>
      </c>
      <c r="C12" s="12"/>
      <c r="D12" s="12"/>
      <c r="E12" s="19" t="str">
        <f t="shared" si="0"/>
        <v/>
      </c>
    </row>
    <row r="13" spans="1:5" x14ac:dyDescent="0.25">
      <c r="A13" s="30" t="s">
        <v>124</v>
      </c>
      <c r="B13" s="31" t="s">
        <v>125</v>
      </c>
      <c r="C13" s="12"/>
      <c r="D13" s="12"/>
      <c r="E13" s="19" t="str">
        <f t="shared" si="0"/>
        <v/>
      </c>
    </row>
    <row r="14" spans="1:5" x14ac:dyDescent="0.25">
      <c r="A14" s="30" t="s">
        <v>126</v>
      </c>
      <c r="B14" s="31" t="s">
        <v>127</v>
      </c>
      <c r="C14" s="12"/>
      <c r="D14" s="12"/>
      <c r="E14" s="19" t="str">
        <f t="shared" si="0"/>
        <v/>
      </c>
    </row>
    <row r="15" spans="1:5" x14ac:dyDescent="0.25">
      <c r="A15" s="30" t="s">
        <v>128</v>
      </c>
      <c r="B15" s="31" t="s">
        <v>129</v>
      </c>
      <c r="C15" s="12"/>
      <c r="D15" s="12"/>
      <c r="E15" s="19" t="str">
        <f t="shared" si="0"/>
        <v/>
      </c>
    </row>
    <row r="16" spans="1:5" x14ac:dyDescent="0.25">
      <c r="A16" s="30" t="s">
        <v>130</v>
      </c>
      <c r="B16" s="31" t="s">
        <v>131</v>
      </c>
      <c r="C16" s="12"/>
      <c r="D16" s="12"/>
      <c r="E16" s="19" t="str">
        <f t="shared" si="0"/>
        <v/>
      </c>
    </row>
    <row r="17" spans="1:5" x14ac:dyDescent="0.25">
      <c r="A17" s="30" t="s">
        <v>132</v>
      </c>
      <c r="B17" s="31" t="s">
        <v>133</v>
      </c>
      <c r="C17" s="12"/>
      <c r="D17" s="12"/>
      <c r="E17" s="19" t="str">
        <f t="shared" si="0"/>
        <v/>
      </c>
    </row>
    <row r="19" spans="1:5" x14ac:dyDescent="0.25">
      <c r="A19" s="15" t="s">
        <v>134</v>
      </c>
      <c r="B19" s="23">
        <f>COUNTIF(E5:E17,"SHORT*")</f>
        <v>0</v>
      </c>
    </row>
  </sheetData>
  <conditionalFormatting sqref="E5:E17">
    <cfRule type="expression" dxfId="2" priority="2">
      <formula>LEFT(E5,2)="OK"</formula>
    </cfRule>
    <cfRule type="expression" dxfId="1" priority="3">
      <formula>OR(LEFT(E5,4)="TOO ",LEFT(E5,6)="UNSAFE",LEFT(E5,5)="SHORT")</formula>
    </cfRule>
    <cfRule type="expression" dxfId="0" priority="4">
      <formula>OR(LEFT(E5,4)="LOW ",LEFT(E5,7)="CLIPPED",LEFT(E5,5)="CHECK")</formula>
    </cfRule>
  </conditionalFormatting>
  <dataValidations count="2">
    <dataValidation type="list" allowBlank="1" sqref="C5:C17" xr:uid="{00000000-0002-0000-0400-000000000000}">
      <formula1>"Must have,Nice to have,Not needed"</formula1>
      <formula2>0</formula2>
    </dataValidation>
    <dataValidation type="list" allowBlank="1" sqref="D5:D17" xr:uid="{00000000-0002-0000-0400-000001000000}">
      <formula1>"Yes,No,Not sure"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Datasheets</vt:lpstr>
      <vt:lpstr>Strings</vt:lpstr>
      <vt:lpstr>Loads &amp; Surge</vt:lpstr>
      <vt:lpstr>Features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Greg Hayter (ZA)</cp:lastModifiedBy>
  <cp:revision>0</cp:revision>
  <dcterms:created xsi:type="dcterms:W3CDTF">2026-10-14T21:55:55Z</dcterms:created>
  <dcterms:modified xsi:type="dcterms:W3CDTF">2026-10-14T21:58:30Z</dcterms:modified>
  <dc:language>en-US</dc:language>
</cp:coreProperties>
</file>