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y Bank" sheetId="2" state="visible" r:id="rId4"/>
    <sheet name="Datasheets" sheetId="3" state="visible" r:id="rId5"/>
    <sheet name="Energy" sheetId="4" state="visible" r:id="rId6"/>
    <sheet name="Pow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<sst xmlns="http://schemas.openxmlformats.org/spreadsheetml/2006/main" count="124" uniqueCount="113">
  <si>
    <t xml:space="preserve">Battery Sizing Calculator</t>
  </si>
  <si>
    <t xml:space="preserve">Free companion tool to Chapter 5: Choosing a Battery</t>
  </si>
  <si>
    <t xml:space="preserve">How to use it</t>
  </si>
  <si>
    <t xml:space="preserve">1. Datasheets: enter your battery module's and inverter's figures. The example is a 4.8 kWh, 48 V LFP module on a 12 kW inverter.</t>
  </si>
  <si>
    <t xml:space="preserve">2. Energy: work out how much energy you need for each job: outage backup, covering your evenings, or off-grid.</t>
  </si>
  <si>
    <t xml:space="preserve">3. Power: check the batteries can deliver your biggest load, and see what each number of modules can supply.</t>
  </si>
  <si>
    <t xml:space="preserve">4. My Bank: choose how many modules you'll install. It checks energy, power, charging and expansion, and gives the inverter settings</t>
  </si>
  <si>
    <t xml:space="preserve">    and the current your cables and fused isolator must handle.</t>
  </si>
  <si>
    <t xml:space="preserve">Colour key</t>
  </si>
  <si>
    <t xml:space="preserve">Yellow cells, blue text: you type here. The example values are there to overwrite.</t>
  </si>
  <si>
    <t xml:space="preserve">Grey cells: calculated, don't overwrite.</t>
  </si>
  <si>
    <t xml:space="preserve">Green = OK.  Amber = works, but harder on the batteries or worth checking.  Red = not enough, or over a limit.</t>
  </si>
  <si>
    <t xml:space="preserve">Important</t>
  </si>
  <si>
    <t xml:space="preserve">This is a planning tool. Cable sizes, fuse and isolator ratings, and inverter settings must be confirmed by a qualified installer</t>
  </si>
  <si>
    <t xml:space="preserve">using the manufacturers' instructions and your local wiring rules. Earth every battery casing and rack (Chapter 5, section 5.8).</t>
  </si>
  <si>
    <t xml:space="preserve">My Bank</t>
  </si>
  <si>
    <t xml:space="preserve">Choose how many modules you'll install, and check everything at once</t>
  </si>
  <si>
    <t xml:space="preserve">Number of modules I'll install</t>
  </si>
  <si>
    <t xml:space="preserve">Your bank</t>
  </si>
  <si>
    <t xml:space="preserve">Nominal capacity</t>
  </si>
  <si>
    <t xml:space="preserve">Usable capacity</t>
  </si>
  <si>
    <t xml:space="preserve">Power at recommended rate</t>
  </si>
  <si>
    <t xml:space="preserve">Power at maximum rate</t>
  </si>
  <si>
    <t xml:space="preserve">Checks</t>
  </si>
  <si>
    <t xml:space="preserve">Outage backup</t>
  </si>
  <si>
    <t xml:space="preserve">Covering your evenings</t>
  </si>
  <si>
    <t xml:space="preserve">Off-grid</t>
  </si>
  <si>
    <t xml:space="preserve">Biggest load in an outage</t>
  </si>
  <si>
    <t xml:space="preserve">Expansion</t>
  </si>
  <si>
    <t xml:space="preserve">Inverter battery current</t>
  </si>
  <si>
    <t xml:space="preserve">Settings and protection</t>
  </si>
  <si>
    <t xml:space="preserve">Set inverter maximum CHARGE current to</t>
  </si>
  <si>
    <t xml:space="preserve">Uses the battery maker's recommended rate. Update these settings every time you add modules.</t>
  </si>
  <si>
    <t xml:space="preserve">Set inverter maximum DISCHARGE current to</t>
  </si>
  <si>
    <t xml:space="preserve">Cables and fused isolator must carry at least</t>
  </si>
  <si>
    <t xml:space="preserve">At the batteries' maximum current, capped by the inverter. Your installer sizes the actual cable and fuse.</t>
  </si>
  <si>
    <t xml:space="preserve">…and for your planned final bank of</t>
  </si>
  <si>
    <t xml:space="preserve">Final bank: cables and fused isolator must carry at least</t>
  </si>
  <si>
    <t xml:space="preserve">Size cables, busbars and the fused isolator for the final bank, or plan to upgrade them when you expand.</t>
  </si>
  <si>
    <t xml:space="preserve">Every battery casing and rack must be earthed. Ask your installer to show you the earth connection on each one (Chapter 5, section 5.8).</t>
  </si>
  <si>
    <t xml:space="preserve">Datasheets</t>
  </si>
  <si>
    <t xml:space="preserve">Copy these from your battery and inverter datasheets</t>
  </si>
  <si>
    <t xml:space="preserve">Battery module</t>
  </si>
  <si>
    <t xml:space="preserve">Value</t>
  </si>
  <si>
    <t xml:space="preserve">Unit</t>
  </si>
  <si>
    <t xml:space="preserve">Model</t>
  </si>
  <si>
    <t xml:space="preserve">Pylontech US5000</t>
  </si>
  <si>
    <t xml:space="preserve">kWh</t>
  </si>
  <si>
    <t xml:space="preserve">If only depth of discharge is given: nominal kWh × DoD (e.g. 4.8 × 0.95 = 4.56).</t>
  </si>
  <si>
    <t xml:space="preserve">Nominal voltage</t>
  </si>
  <si>
    <t xml:space="preserve">V</t>
  </si>
  <si>
    <t xml:space="preserve">Recommended charge/discharge current</t>
  </si>
  <si>
    <t xml:space="preserve">A</t>
  </si>
  <si>
    <t xml:space="preserve">Often given as a C-rate: 0.5C on a 100 Ah module = 50 A.</t>
  </si>
  <si>
    <t xml:space="preserve">Maximum continuous current</t>
  </si>
  <si>
    <t xml:space="preserve">Maximum modules in parallel</t>
  </si>
  <si>
    <t xml:space="preserve">Check the exact model; this varies widely between brands (Chapter 5, section 5.4).</t>
  </si>
  <si>
    <t xml:space="preserve">Inverter</t>
  </si>
  <si>
    <t xml:space="preserve">Sunsynk 12 kW</t>
  </si>
  <si>
    <t xml:space="preserve">Continuous output</t>
  </si>
  <si>
    <t xml:space="preserve">kW</t>
  </si>
  <si>
    <t xml:space="preserve">Maximum battery charge/discharge current</t>
  </si>
  <si>
    <t xml:space="preserve">High-voltage inverters often give this in kW instead: divide kW × 1000 by the battery voltage.</t>
  </si>
  <si>
    <t xml:space="preserve">Inverter efficiency (allowance)</t>
  </si>
  <si>
    <t xml:space="preserve">Energy</t>
  </si>
  <si>
    <t xml:space="preserve">How much energy does each battery job need?</t>
  </si>
  <si>
    <t xml:space="preserve">Job 1: Backup for outages (essential loads)</t>
  </si>
  <si>
    <t xml:space="preserve">Essential load</t>
  </si>
  <si>
    <t xml:space="preserve">Average power (W)</t>
  </si>
  <si>
    <t xml:space="preserve">Qty</t>
  </si>
  <si>
    <t xml:space="preserve">Hours needed in an outage</t>
  </si>
  <si>
    <t xml:space="preserve">Fridge-freezer (average)</t>
  </si>
  <si>
    <t xml:space="preserve">Fridges cycle on and off: use the average, not the label rating.</t>
  </si>
  <si>
    <t xml:space="preserve">Wi-Fi router + fibre box</t>
  </si>
  <si>
    <t xml:space="preserve">Hours: how long your typical outage lasts, or one night.</t>
  </si>
  <si>
    <t xml:space="preserve">Alarm system</t>
  </si>
  <si>
    <t xml:space="preserve">LED lights (living areas)</t>
  </si>
  <si>
    <t xml:space="preserve">Security lights</t>
  </si>
  <si>
    <t xml:space="preserve">TV + decoder</t>
  </si>
  <si>
    <t xml:space="preserve">Laptop</t>
  </si>
  <si>
    <t xml:space="preserve">Phone chargers</t>
  </si>
  <si>
    <t xml:space="preserve">Gate motor</t>
  </si>
  <si>
    <t xml:space="preserve">Total essential energy for one outage</t>
  </si>
  <si>
    <t xml:space="preserve">Job 2: Covering your evenings</t>
  </si>
  <si>
    <t xml:space="preserve">Night-time kWh per day (from your Load Audit or Savings Estimator)</t>
  </si>
  <si>
    <t xml:space="preserve">Job 3: Off-grid</t>
  </si>
  <si>
    <t xml:space="preserve">Total daily use (kWh)</t>
  </si>
  <si>
    <t xml:space="preserve">Days of backup for cloudy weather</t>
  </si>
  <si>
    <t xml:space="preserve">Typically 2 to 3 days.</t>
  </si>
  <si>
    <t xml:space="preserve">Summary</t>
  </si>
  <si>
    <t xml:space="preserve">Battery job</t>
  </si>
  <si>
    <t xml:space="preserve">Energy needed (kWh)</t>
  </si>
  <si>
    <t xml:space="preserve">Usable capacity needed (kWh)</t>
  </si>
  <si>
    <t xml:space="preserve">Modules needed</t>
  </si>
  <si>
    <t xml:space="preserve">Backup for outages</t>
  </si>
  <si>
    <t xml:space="preserve">Usable capacity needed = energy needed ÷ inverter efficiency. Modules = usable capacity needed ÷ usable capacity per module, rounded up.</t>
  </si>
  <si>
    <t xml:space="preserve">Power</t>
  </si>
  <si>
    <t xml:space="preserve">Can the batteries deliver your biggest load? (the C-rate check)</t>
  </si>
  <si>
    <t xml:space="preserve">Biggest realistic load during an outage</t>
  </si>
  <si>
    <t xml:space="preserve">e.g. kettle + microwave + lights. Use the Inverter Sizing Calculator's Loads sheet.</t>
  </si>
  <si>
    <t xml:space="preserve">Battery current needed</t>
  </si>
  <si>
    <t xml:space="preserve">Modules needed at the recommended rate</t>
  </si>
  <si>
    <t xml:space="preserve">Modules needed at the maximum rate</t>
  </si>
  <si>
    <t xml:space="preserve">Battery current for the inverter at full output</t>
  </si>
  <si>
    <t xml:space="preserve">Modules to run the inverter at full output (recommended rate)</t>
  </si>
  <si>
    <t xml:space="preserve">Below this, the inverter can't deliver its full rating from the battery alone.</t>
  </si>
  <si>
    <t xml:space="preserve">Modules</t>
  </si>
  <si>
    <t xml:space="preserve">Power at recommended rate (kW)</t>
  </si>
  <si>
    <t xml:space="preserve">Power at maximum rate (kW)</t>
  </si>
  <si>
    <t xml:space="preserve">Share of inverter (recommended)</t>
  </si>
  <si>
    <t xml:space="preserve">Charge acceptance (kW)</t>
  </si>
  <si>
    <t xml:space="preserve">Charge acceptance: how much surplus solar the bank can absorb at its recommended rate. Above this, surplus is exported or wasted.</t>
  </si>
  <si>
    <t xml:space="preserve">Power is capped by the inverter's maximum battery current.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</si>
</sst>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0.0&quot; kWh&quot;"/>
    <numFmt numFmtId="167" formatCode="0.0&quot; kW&quot;"/>
    <numFmt numFmtId="168" formatCode="0&quot; A&quot;"/>
    <numFmt numFmtId="169" formatCode="0&quot; modules&quot;"/>
    <numFmt numFmtId="170" formatCode="0%"/>
    <numFmt numFmtId="171" formatCode="#,##0"/>
    <numFmt numFmtId="172" formatCode="0.0"/>
    <numFmt numFmtId="173" formatCode="0.00"/>
    <numFmt numFmtId="174" formatCode="0.00&quot; kWh&quot;"/>
    <numFmt numFmtId="175" formatCode="0.0&quot; days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5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5F5B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6D5"/>
        <bgColor rgb="FFFFF3CD"/>
      </patternFill>
    </fill>
    <fill>
      <patternFill patternType="solid">
        <fgColor rgb="FFF3F5F5"/>
        <bgColor rgb="FFE3F1EF"/>
      </patternFill>
    </fill>
    <fill>
      <patternFill patternType="solid">
        <fgColor rgb="FFE3F1EF"/>
        <bgColor rgb="FFF3F5F5"/>
      </patternFill>
    </fill>
    <fill>
      <patternFill patternType="solid">
        <fgColor rgb="FF1F5F5B"/>
        <bgColor rgb="FF5555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78787"/>
      <rgbColor rgb="FF9999FF"/>
      <rgbColor rgb="FF993366"/>
      <rgbColor rgb="FFFFF6D5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2A900"/>
      <rgbColor rgb="FFFF6600"/>
      <rgbColor rgb="FF555555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Power the bank can deliver (recommended vs maximum)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Power!B11</c:f>
              <c:strCache>
                <c:ptCount val="1"/>
                <c:pt idx="0">
                  <c:v>Power at recommended rate (kW)</c:v>
                </c:pt>
              </c:strCache>
            </c:strRef>
          </c:tx>
          <c:spPr>
            <a:solidFill>
              <a:srgbClr val="1f5f5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Power!$A$12:$A$27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strCache>
            </c:strRef>
          </c:cat>
          <c:val>
            <c:numRef>
              <c:f>Power!$B$12:$B$27</c:f>
              <c:numCache>
                <c:formatCode>0.0</c:formatCode>
                <c:ptCount val="16"/>
                <c:pt idx="0">
                  <c:v>2.4</c:v>
                </c:pt>
                <c:pt idx="1">
                  <c:v>4.8</c:v>
                </c:pt>
                <c:pt idx="2">
                  <c:v>7.2</c:v>
                </c:pt>
                <c:pt idx="3">
                  <c:v>9.6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</c:numCache>
            </c:numRef>
          </c:val>
        </c:ser>
        <c:ser>
          <c:idx val="1"/>
          <c:order val="1"/>
          <c:tx>
            <c:strRef>
              <c:f>Power!C11</c:f>
              <c:strCache>
                <c:ptCount val="1"/>
                <c:pt idx="0">
                  <c:v>Power at maximum rate (kW)</c:v>
                </c:pt>
              </c:strCache>
            </c:strRef>
          </c:tx>
          <c:spPr>
            <a:solidFill>
              <a:srgbClr val="f2a9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Power!$A$12:$A$27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strCache>
            </c:strRef>
          </c:cat>
          <c:val>
            <c:numRef>
              <c:f>Power!$C$12:$C$27</c:f>
              <c:numCache>
                <c:formatCode>0.0</c:formatCode>
                <c:ptCount val="16"/>
                <c:pt idx="0">
                  <c:v>4.8</c:v>
                </c:pt>
                <c:pt idx="1">
                  <c:v>9.6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</c:numCache>
            </c:numRef>
          </c:val>
        </c:ser>
        <c:gapWidth val="150"/>
        <c:overlap val="0"/>
        <c:axId val="26860446"/>
        <c:axId val="66905277"/>
      </c:barChart>
      <c:catAx>
        <c:axId val="2686044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Modules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905277"/>
        <c:crosses val="autoZero"/>
        <c:auto val="1"/>
        <c:lblAlgn val="ctr"/>
        <c:lblOffset val="100"/>
        <c:noMultiLvlLbl val="0"/>
      </c:catAx>
      <c:valAx>
        <c:axId val="669052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kW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86044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15</xdr:col>
      <xdr:colOff>255960</xdr:colOff>
      <xdr:row>15</xdr:row>
      <xdr:rowOff>172080</xdr:rowOff>
    </xdr:to>
    <xdr:graphicFrame>
      <xdr:nvGraphicFramePr>
        <xdr:cNvPr id="0" name="Chart 1"/>
        <xdr:cNvGraphicFramePr/>
      </xdr:nvGraphicFramePr>
      <xdr:xfrm>
        <a:off x="7823880" y="5716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6" t="s">
        <v>10</v>
      </c>
    </row>
    <row r="14" customFormat="false" ht="15" hidden="false" customHeight="false" outlineLevel="0" collapsed="false">
      <c r="B14" s="4" t="s">
        <v>11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3"/>
    <col collapsed="false" customWidth="true" hidden="false" outlineLevel="0" max="4" min="4" style="0" width="46"/>
    <col collapsed="false" customWidth="true" hidden="false" outlineLevel="0" max="5" min="5" style="0" width="10"/>
  </cols>
  <sheetData>
    <row r="1" customFormat="false" ht="19.7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7" t="s">
        <v>17</v>
      </c>
      <c r="B4" s="8" t="n">
        <v>2</v>
      </c>
    </row>
    <row r="6" customFormat="false" ht="15" hidden="false" customHeight="false" outlineLevel="0" collapsed="false">
      <c r="A6" s="3" t="s">
        <v>18</v>
      </c>
    </row>
    <row r="7" customFormat="false" ht="15" hidden="false" customHeight="false" outlineLevel="0" collapsed="false">
      <c r="A7" s="9" t="s">
        <v>19</v>
      </c>
      <c r="B7" s="10" t="n">
        <f aca="false">B4*Datasheets!$B$6</f>
        <v>9.6</v>
      </c>
    </row>
    <row r="8" customFormat="false" ht="15" hidden="false" customHeight="false" outlineLevel="0" collapsed="false">
      <c r="A8" s="9" t="s">
        <v>20</v>
      </c>
      <c r="B8" s="10" t="n">
        <f aca="false">B4*Datasheets!$B$7</f>
        <v>9.12</v>
      </c>
    </row>
    <row r="9" customFormat="false" ht="15" hidden="false" customHeight="false" outlineLevel="0" collapsed="false">
      <c r="A9" s="9" t="s">
        <v>21</v>
      </c>
      <c r="B9" s="11" t="n">
        <f aca="false">MIN(B4*Datasheets!$B$9,Datasheets!$B$16)*Datasheets!$B$8/1000</f>
        <v>4.8</v>
      </c>
    </row>
    <row r="10" customFormat="false" ht="15" hidden="false" customHeight="false" outlineLevel="0" collapsed="false">
      <c r="A10" s="9" t="s">
        <v>22</v>
      </c>
      <c r="B10" s="11" t="n">
        <f aca="false">MIN(B4*Datasheets!$B$10,Datasheets!$B$16)*Datasheets!$B$8/1000</f>
        <v>9.6</v>
      </c>
    </row>
    <row r="12" customFormat="false" ht="15" hidden="false" customHeight="false" outlineLevel="0" collapsed="false">
      <c r="A12" s="3" t="s">
        <v>23</v>
      </c>
    </row>
    <row r="13" customFormat="false" ht="15" hidden="false" customHeight="false" outlineLevel="0" collapsed="false">
      <c r="A13" s="12" t="s">
        <v>24</v>
      </c>
      <c r="B13" s="13" t="str">
        <f aca="false">IF(Energy!D32=0,"",IF(B8&gt;=Energy!D32,"OK: covers your essentials, with "&amp;TEXT(B8*Datasheets!$B$17-Energy!B32,"0.0")&amp;" kWh to spare","SHORT: covers "&amp;TEXT(B8*Datasheets!$B$17/Energy!B32*100,"0")&amp;"% of your essential needs"))</f>
        <v>OK: covers your essentials, with 6.1 kWh to spare</v>
      </c>
      <c r="C13" s="13"/>
      <c r="D13" s="13"/>
    </row>
    <row r="14" customFormat="false" ht="15" hidden="false" customHeight="false" outlineLevel="0" collapsed="false">
      <c r="A14" s="12" t="s">
        <v>25</v>
      </c>
      <c r="B14" s="13" t="str">
        <f aca="false">IF(Energy!D33=0,"",IF(B8&gt;=Energy!D33,"OK: covers your whole evening","CHECK: covers "&amp;TEXT(B8*Datasheets!$B$17/Energy!B33*100,"0")&amp;"% of your evening; grid tops up the rest"))</f>
        <v>OK: covers your whole evening</v>
      </c>
      <c r="C14" s="13"/>
      <c r="D14" s="13"/>
    </row>
    <row r="15" customFormat="false" ht="15" hidden="false" customHeight="false" outlineLevel="0" collapsed="false">
      <c r="A15" s="12" t="s">
        <v>26</v>
      </c>
      <c r="B15" s="13" t="str">
        <f aca="false">IF(Energy!D34=0,"",IF(B8&gt;=Energy!D34,"OK: enough for off-grid","NOT ENOUGH for off-grid (need "&amp;Energy!E34&amp;" modules)"))</f>
        <v>NOT ENOUGH for off-grid (need 11 modules)</v>
      </c>
      <c r="C15" s="13"/>
      <c r="D15" s="13"/>
    </row>
    <row r="16" customFormat="false" ht="15" hidden="false" customHeight="false" outlineLevel="0" collapsed="false">
      <c r="A16" s="12" t="s">
        <v>27</v>
      </c>
      <c r="B16" s="13" t="str">
        <f aca="false">IF(Power!B4=0,"",IF(B9&gt;=Power!B4,"OK at the recommended rate",IF(B10&gt;=Power!B4,"WORKING HARD: above recommended rate, shortens battery life","TOO SMALL: the system will trip at this load")))</f>
        <v>WORKING HARD: above recommended rate, shortens battery life</v>
      </c>
      <c r="C16" s="13"/>
      <c r="D16" s="13"/>
    </row>
    <row r="17" customFormat="false" ht="15" hidden="false" customHeight="false" outlineLevel="0" collapsed="false">
      <c r="A17" s="12" t="s">
        <v>28</v>
      </c>
      <c r="B17" s="13" t="str">
        <f aca="false">IF(B4&gt;Datasheets!$B$11,"TOO MANY modules for this battery (max "&amp;Datasheets!$B$11&amp;")","OK: room for "&amp;(Datasheets!$B$11-B4)&amp;" more modules")</f>
        <v>OK: room for 14 more modules</v>
      </c>
      <c r="C17" s="13"/>
      <c r="D17" s="13"/>
    </row>
    <row r="18" customFormat="false" ht="15" hidden="false" customHeight="false" outlineLevel="0" collapsed="false">
      <c r="A18" s="12" t="s">
        <v>29</v>
      </c>
      <c r="B18" s="13" t="str">
        <f aca="false">IF(B4*Datasheets!$B$9&gt;Datasheets!$B$16,"CHECK: bank can supply more than the inverter uses; extra modules add storage, not power","OK")</f>
        <v>OK</v>
      </c>
      <c r="C18" s="13"/>
      <c r="D18" s="13"/>
    </row>
    <row r="20" customFormat="false" ht="15" hidden="false" customHeight="false" outlineLevel="0" collapsed="false">
      <c r="A20" s="3" t="s">
        <v>30</v>
      </c>
    </row>
    <row r="21" customFormat="false" ht="15" hidden="false" customHeight="false" outlineLevel="0" collapsed="false">
      <c r="A21" s="12" t="s">
        <v>31</v>
      </c>
      <c r="B21" s="14" t="n">
        <f aca="false">MIN(B4*Datasheets!$B$9,Datasheets!$B$16)</f>
        <v>100</v>
      </c>
      <c r="D21" s="2" t="s">
        <v>32</v>
      </c>
    </row>
    <row r="22" customFormat="false" ht="15" hidden="false" customHeight="false" outlineLevel="0" collapsed="false">
      <c r="A22" s="12" t="s">
        <v>33</v>
      </c>
      <c r="B22" s="14" t="n">
        <f aca="false">MIN(B4*Datasheets!$B$9,Datasheets!$B$16)</f>
        <v>100</v>
      </c>
    </row>
    <row r="23" customFormat="false" ht="15" hidden="false" customHeight="false" outlineLevel="0" collapsed="false">
      <c r="A23" s="12" t="s">
        <v>34</v>
      </c>
      <c r="B23" s="14" t="n">
        <f aca="false">MIN(B4*Datasheets!$B$10,Datasheets!$B$16)</f>
        <v>200</v>
      </c>
      <c r="D23" s="2" t="s">
        <v>35</v>
      </c>
    </row>
    <row r="24" customFormat="false" ht="15" hidden="false" customHeight="false" outlineLevel="0" collapsed="false">
      <c r="A24" s="12" t="s">
        <v>36</v>
      </c>
      <c r="B24" s="15" t="n">
        <v>3</v>
      </c>
    </row>
    <row r="25" customFormat="false" ht="15" hidden="false" customHeight="false" outlineLevel="0" collapsed="false">
      <c r="A25" s="12" t="s">
        <v>37</v>
      </c>
      <c r="B25" s="14" t="n">
        <f aca="false">MIN(B24*Datasheets!$B$10,Datasheets!$B$16)</f>
        <v>250</v>
      </c>
      <c r="D25" s="2" t="s">
        <v>38</v>
      </c>
    </row>
    <row r="27" customFormat="false" ht="15" hidden="false" customHeight="false" outlineLevel="0" collapsed="false">
      <c r="A27" s="16" t="s">
        <v>39</v>
      </c>
    </row>
  </sheetData>
  <mergeCells count="6">
    <mergeCell ref="B13:D13"/>
    <mergeCell ref="B14:D14"/>
    <mergeCell ref="B15:D15"/>
    <mergeCell ref="B16:D16"/>
    <mergeCell ref="B17:D17"/>
    <mergeCell ref="B18:D18"/>
  </mergeCells>
  <conditionalFormatting sqref="B13:B18">
    <cfRule type="expression" priority="2" aboveAverage="0" equalAverage="0" bottom="0" percent="0" rank="0" text="" dxfId="0">
      <formula>LEFT(B13,2)="OK"</formula>
    </cfRule>
    <cfRule type="expression" priority="3" aboveAverage="0" equalAverage="0" bottom="0" percent="0" rank="0" text="" dxfId="1">
      <formula>OR(LEFT(B13,4)="TOO ",LEFT(B13,5)="SHORT",LEFT(B13,4)="NOT ")</formula>
    </cfRule>
    <cfRule type="expression" priority="4" aboveAverage="0" equalAverage="0" bottom="0" percent="0" rank="0" text="" dxfId="2">
      <formula>OR(LEFT(B13,5)="CHECK",LEFT(B13,7)="WORKING")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3"/>
    <col collapsed="false" customWidth="true" hidden="false" outlineLevel="0" max="5" min="5" style="0" width="64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31.5" hidden="false" customHeight="true" outlineLevel="0" collapsed="false">
      <c r="A4" s="17" t="s">
        <v>42</v>
      </c>
      <c r="B4" s="17" t="s">
        <v>43</v>
      </c>
      <c r="C4" s="17" t="s">
        <v>44</v>
      </c>
    </row>
    <row r="5" customFormat="false" ht="15" hidden="false" customHeight="false" outlineLevel="0" collapsed="false">
      <c r="A5" s="9" t="s">
        <v>45</v>
      </c>
      <c r="B5" s="18" t="s">
        <v>46</v>
      </c>
      <c r="C5" s="9"/>
    </row>
    <row r="6" customFormat="false" ht="15" hidden="false" customHeight="false" outlineLevel="0" collapsed="false">
      <c r="A6" s="9" t="s">
        <v>19</v>
      </c>
      <c r="B6" s="18" t="n">
        <v>4.8</v>
      </c>
      <c r="C6" s="9" t="s">
        <v>47</v>
      </c>
    </row>
    <row r="7" customFormat="false" ht="15" hidden="false" customHeight="false" outlineLevel="0" collapsed="false">
      <c r="A7" s="9" t="s">
        <v>20</v>
      </c>
      <c r="B7" s="18" t="n">
        <v>4.56</v>
      </c>
      <c r="C7" s="9" t="s">
        <v>47</v>
      </c>
      <c r="E7" s="2" t="s">
        <v>48</v>
      </c>
    </row>
    <row r="8" customFormat="false" ht="15" hidden="false" customHeight="false" outlineLevel="0" collapsed="false">
      <c r="A8" s="9" t="s">
        <v>49</v>
      </c>
      <c r="B8" s="18" t="n">
        <v>48</v>
      </c>
      <c r="C8" s="9" t="s">
        <v>50</v>
      </c>
    </row>
    <row r="9" customFormat="false" ht="15" hidden="false" customHeight="false" outlineLevel="0" collapsed="false">
      <c r="A9" s="9" t="s">
        <v>51</v>
      </c>
      <c r="B9" s="18" t="n">
        <v>50</v>
      </c>
      <c r="C9" s="9" t="s">
        <v>52</v>
      </c>
      <c r="E9" s="2" t="s">
        <v>53</v>
      </c>
    </row>
    <row r="10" customFormat="false" ht="15" hidden="false" customHeight="false" outlineLevel="0" collapsed="false">
      <c r="A10" s="9" t="s">
        <v>54</v>
      </c>
      <c r="B10" s="18" t="n">
        <v>100</v>
      </c>
      <c r="C10" s="9" t="s">
        <v>52</v>
      </c>
    </row>
    <row r="11" customFormat="false" ht="15" hidden="false" customHeight="false" outlineLevel="0" collapsed="false">
      <c r="A11" s="9" t="s">
        <v>55</v>
      </c>
      <c r="B11" s="18" t="n">
        <v>16</v>
      </c>
      <c r="C11" s="9"/>
      <c r="E11" s="2" t="s">
        <v>56</v>
      </c>
    </row>
    <row r="13" customFormat="false" ht="31.5" hidden="false" customHeight="true" outlineLevel="0" collapsed="false">
      <c r="A13" s="17" t="s">
        <v>57</v>
      </c>
      <c r="B13" s="17" t="s">
        <v>43</v>
      </c>
      <c r="C13" s="17" t="s">
        <v>44</v>
      </c>
    </row>
    <row r="14" customFormat="false" ht="15" hidden="false" customHeight="false" outlineLevel="0" collapsed="false">
      <c r="A14" s="9" t="s">
        <v>45</v>
      </c>
      <c r="B14" s="18" t="s">
        <v>58</v>
      </c>
      <c r="C14" s="9"/>
    </row>
    <row r="15" customFormat="false" ht="15" hidden="false" customHeight="false" outlineLevel="0" collapsed="false">
      <c r="A15" s="9" t="s">
        <v>59</v>
      </c>
      <c r="B15" s="18" t="n">
        <v>12</v>
      </c>
      <c r="C15" s="9" t="s">
        <v>60</v>
      </c>
    </row>
    <row r="16" customFormat="false" ht="15" hidden="false" customHeight="false" outlineLevel="0" collapsed="false">
      <c r="A16" s="9" t="s">
        <v>61</v>
      </c>
      <c r="B16" s="18" t="n">
        <v>250</v>
      </c>
      <c r="C16" s="9" t="s">
        <v>52</v>
      </c>
      <c r="E16" s="2" t="s">
        <v>62</v>
      </c>
    </row>
    <row r="17" customFormat="false" ht="15" hidden="false" customHeight="false" outlineLevel="0" collapsed="false">
      <c r="A17" s="9" t="s">
        <v>63</v>
      </c>
      <c r="B17" s="19" t="n">
        <v>0.95</v>
      </c>
      <c r="C17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5" min="4" style="0" width="14"/>
    <col collapsed="false" customWidth="true" hidden="false" outlineLevel="0" max="6" min="6" style="0" width="3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4" customFormat="false" ht="15" hidden="false" customHeight="false" outlineLevel="0" collapsed="false">
      <c r="A4" s="3" t="s">
        <v>66</v>
      </c>
    </row>
    <row r="5" customFormat="false" ht="31.5" hidden="false" customHeight="true" outlineLevel="0" collapsed="false">
      <c r="A5" s="17" t="s">
        <v>67</v>
      </c>
      <c r="B5" s="17" t="s">
        <v>68</v>
      </c>
      <c r="C5" s="17" t="s">
        <v>69</v>
      </c>
      <c r="D5" s="17" t="s">
        <v>70</v>
      </c>
      <c r="E5" s="17" t="s">
        <v>47</v>
      </c>
    </row>
    <row r="6" customFormat="false" ht="15" hidden="false" customHeight="false" outlineLevel="0" collapsed="false">
      <c r="A6" s="18" t="s">
        <v>71</v>
      </c>
      <c r="B6" s="20" t="n">
        <v>50</v>
      </c>
      <c r="C6" s="18" t="n">
        <v>1</v>
      </c>
      <c r="D6" s="21" t="n">
        <v>12</v>
      </c>
      <c r="E6" s="22" t="n">
        <f aca="false">IF(OR(B6="",D6=""),"",B6*IF(C6="",1,C6)*D6/1000)</f>
        <v>0.6</v>
      </c>
      <c r="G6" s="2" t="s">
        <v>72</v>
      </c>
    </row>
    <row r="7" customFormat="false" ht="15" hidden="false" customHeight="false" outlineLevel="0" collapsed="false">
      <c r="A7" s="18" t="s">
        <v>73</v>
      </c>
      <c r="B7" s="20" t="n">
        <v>12</v>
      </c>
      <c r="C7" s="18" t="n">
        <v>1</v>
      </c>
      <c r="D7" s="21" t="n">
        <v>12</v>
      </c>
      <c r="E7" s="22" t="n">
        <f aca="false">IF(OR(B7="",D7=""),"",B7*IF(C7="",1,C7)*D7/1000)</f>
        <v>0.144</v>
      </c>
      <c r="G7" s="2" t="s">
        <v>74</v>
      </c>
    </row>
    <row r="8" customFormat="false" ht="15" hidden="false" customHeight="false" outlineLevel="0" collapsed="false">
      <c r="A8" s="18" t="s">
        <v>75</v>
      </c>
      <c r="B8" s="20" t="n">
        <v>15</v>
      </c>
      <c r="C8" s="18" t="n">
        <v>1</v>
      </c>
      <c r="D8" s="21" t="n">
        <v>12</v>
      </c>
      <c r="E8" s="22" t="n">
        <f aca="false">IF(OR(B8="",D8=""),"",B8*IF(C8="",1,C8)*D8/1000)</f>
        <v>0.18</v>
      </c>
    </row>
    <row r="9" customFormat="false" ht="15" hidden="false" customHeight="false" outlineLevel="0" collapsed="false">
      <c r="A9" s="18" t="s">
        <v>76</v>
      </c>
      <c r="B9" s="20" t="n">
        <v>9</v>
      </c>
      <c r="C9" s="18" t="n">
        <v>10</v>
      </c>
      <c r="D9" s="21" t="n">
        <v>5</v>
      </c>
      <c r="E9" s="22" t="n">
        <f aca="false">IF(OR(B9="",D9=""),"",B9*IF(C9="",1,C9)*D9/1000)</f>
        <v>0.45</v>
      </c>
    </row>
    <row r="10" customFormat="false" ht="15" hidden="false" customHeight="false" outlineLevel="0" collapsed="false">
      <c r="A10" s="18" t="s">
        <v>77</v>
      </c>
      <c r="B10" s="20" t="n">
        <v>10</v>
      </c>
      <c r="C10" s="18" t="n">
        <v>4</v>
      </c>
      <c r="D10" s="21" t="n">
        <v>10</v>
      </c>
      <c r="E10" s="22" t="n">
        <f aca="false">IF(OR(B10="",D10=""),"",B10*IF(C10="",1,C10)*D10/1000)</f>
        <v>0.4</v>
      </c>
    </row>
    <row r="11" customFormat="false" ht="15" hidden="false" customHeight="false" outlineLevel="0" collapsed="false">
      <c r="A11" s="18" t="s">
        <v>78</v>
      </c>
      <c r="B11" s="20" t="n">
        <v>120</v>
      </c>
      <c r="C11" s="18" t="n">
        <v>1</v>
      </c>
      <c r="D11" s="21" t="n">
        <v>3</v>
      </c>
      <c r="E11" s="22" t="n">
        <f aca="false">IF(OR(B11="",D11=""),"",B11*IF(C11="",1,C11)*D11/1000)</f>
        <v>0.36</v>
      </c>
    </row>
    <row r="12" customFormat="false" ht="15" hidden="false" customHeight="false" outlineLevel="0" collapsed="false">
      <c r="A12" s="18" t="s">
        <v>79</v>
      </c>
      <c r="B12" s="20" t="n">
        <v>90</v>
      </c>
      <c r="C12" s="18" t="n">
        <v>1</v>
      </c>
      <c r="D12" s="21" t="n">
        <v>3</v>
      </c>
      <c r="E12" s="22" t="n">
        <f aca="false">IF(OR(B12="",D12=""),"",B12*IF(C12="",1,C12)*D12/1000)</f>
        <v>0.27</v>
      </c>
    </row>
    <row r="13" customFormat="false" ht="15" hidden="false" customHeight="false" outlineLevel="0" collapsed="false">
      <c r="A13" s="18" t="s">
        <v>80</v>
      </c>
      <c r="B13" s="20" t="n">
        <v>10</v>
      </c>
      <c r="C13" s="18" t="n">
        <v>4</v>
      </c>
      <c r="D13" s="21" t="n">
        <v>2</v>
      </c>
      <c r="E13" s="22" t="n">
        <f aca="false">IF(OR(B13="",D13=""),"",B13*IF(C13="",1,C13)*D13/1000)</f>
        <v>0.08</v>
      </c>
    </row>
    <row r="14" customFormat="false" ht="15" hidden="false" customHeight="false" outlineLevel="0" collapsed="false">
      <c r="A14" s="18" t="s">
        <v>81</v>
      </c>
      <c r="B14" s="20" t="n">
        <v>300</v>
      </c>
      <c r="C14" s="18" t="n">
        <v>1</v>
      </c>
      <c r="D14" s="21" t="n">
        <v>0.2</v>
      </c>
      <c r="E14" s="22" t="n">
        <f aca="false">IF(OR(B14="",D14=""),"",B14*IF(C14="",1,C14)*D14/1000)</f>
        <v>0.06</v>
      </c>
    </row>
    <row r="15" customFormat="false" ht="15" hidden="false" customHeight="false" outlineLevel="0" collapsed="false">
      <c r="A15" s="18"/>
      <c r="B15" s="20"/>
      <c r="C15" s="18"/>
      <c r="D15" s="21"/>
      <c r="E15" s="22" t="str">
        <f aca="false">IF(OR(B15="",D15=""),"",B15*IF(C15="",1,C15)*D15/1000)</f>
        <v/>
      </c>
    </row>
    <row r="16" customFormat="false" ht="15" hidden="false" customHeight="false" outlineLevel="0" collapsed="false">
      <c r="A16" s="18"/>
      <c r="B16" s="20"/>
      <c r="C16" s="18"/>
      <c r="D16" s="21"/>
      <c r="E16" s="22" t="str">
        <f aca="false">IF(OR(B16="",D16=""),"",B16*IF(C16="",1,C16)*D16/1000)</f>
        <v/>
      </c>
    </row>
    <row r="17" customFormat="false" ht="15" hidden="false" customHeight="false" outlineLevel="0" collapsed="false">
      <c r="A17" s="18"/>
      <c r="B17" s="20"/>
      <c r="C17" s="18"/>
      <c r="D17" s="21"/>
      <c r="E17" s="22" t="str">
        <f aca="false">IF(OR(B17="",D17=""),"",B17*IF(C17="",1,C17)*D17/1000)</f>
        <v/>
      </c>
    </row>
    <row r="18" customFormat="false" ht="15" hidden="false" customHeight="false" outlineLevel="0" collapsed="false">
      <c r="A18" s="18"/>
      <c r="B18" s="20"/>
      <c r="C18" s="18"/>
      <c r="D18" s="21"/>
      <c r="E18" s="22" t="str">
        <f aca="false">IF(OR(B18="",D18=""),"",B18*IF(C18="",1,C18)*D18/1000)</f>
        <v/>
      </c>
    </row>
    <row r="19" customFormat="false" ht="15" hidden="false" customHeight="false" outlineLevel="0" collapsed="false">
      <c r="A19" s="18"/>
      <c r="B19" s="20"/>
      <c r="C19" s="18"/>
      <c r="D19" s="21"/>
      <c r="E19" s="22" t="str">
        <f aca="false">IF(OR(B19="",D19=""),"",B19*IF(C19="",1,C19)*D19/1000)</f>
        <v/>
      </c>
    </row>
    <row r="20" customFormat="false" ht="15" hidden="false" customHeight="false" outlineLevel="0" collapsed="false">
      <c r="A20" s="18"/>
      <c r="B20" s="20"/>
      <c r="C20" s="18"/>
      <c r="D20" s="21"/>
      <c r="E20" s="22" t="str">
        <f aca="false">IF(OR(B20="",D20=""),"",B20*IF(C20="",1,C20)*D20/1000)</f>
        <v/>
      </c>
    </row>
    <row r="21" customFormat="false" ht="15" hidden="false" customHeight="false" outlineLevel="0" collapsed="false">
      <c r="A21" s="23" t="s">
        <v>82</v>
      </c>
      <c r="E21" s="24" t="n">
        <f aca="false">SUM(E6:E20)</f>
        <v>2.544</v>
      </c>
    </row>
    <row r="23" customFormat="false" ht="15" hidden="false" customHeight="false" outlineLevel="0" collapsed="false">
      <c r="A23" s="3" t="s">
        <v>83</v>
      </c>
    </row>
    <row r="24" customFormat="false" ht="15" hidden="false" customHeight="false" outlineLevel="0" collapsed="false">
      <c r="A24" s="0" t="s">
        <v>84</v>
      </c>
      <c r="E24" s="25" t="n">
        <v>6.6</v>
      </c>
    </row>
    <row r="26" customFormat="false" ht="15" hidden="false" customHeight="false" outlineLevel="0" collapsed="false">
      <c r="A26" s="3" t="s">
        <v>85</v>
      </c>
    </row>
    <row r="27" customFormat="false" ht="15" hidden="false" customHeight="false" outlineLevel="0" collapsed="false">
      <c r="A27" s="0" t="s">
        <v>86</v>
      </c>
      <c r="E27" s="25" t="n">
        <v>21.8</v>
      </c>
    </row>
    <row r="28" customFormat="false" ht="15" hidden="false" customHeight="false" outlineLevel="0" collapsed="false">
      <c r="A28" s="0" t="s">
        <v>87</v>
      </c>
      <c r="E28" s="26" t="n">
        <v>2</v>
      </c>
      <c r="G28" s="2" t="s">
        <v>88</v>
      </c>
    </row>
    <row r="30" customFormat="false" ht="15" hidden="false" customHeight="false" outlineLevel="0" collapsed="false">
      <c r="A30" s="3" t="s">
        <v>89</v>
      </c>
    </row>
    <row r="31" customFormat="false" ht="31.5" hidden="false" customHeight="true" outlineLevel="0" collapsed="false">
      <c r="A31" s="17" t="s">
        <v>90</v>
      </c>
      <c r="B31" s="17" t="s">
        <v>91</v>
      </c>
      <c r="C31" s="17"/>
      <c r="D31" s="17" t="s">
        <v>92</v>
      </c>
      <c r="E31" s="17" t="s">
        <v>93</v>
      </c>
    </row>
    <row r="32" customFormat="false" ht="15" hidden="false" customHeight="false" outlineLevel="0" collapsed="false">
      <c r="A32" s="12" t="s">
        <v>94</v>
      </c>
      <c r="B32" s="27" t="n">
        <f aca="false">E21</f>
        <v>2.544</v>
      </c>
      <c r="C32" s="27"/>
      <c r="D32" s="27" t="n">
        <f aca="false">B32/Datasheets!$B$17</f>
        <v>2.67789473684211</v>
      </c>
      <c r="E32" s="28" t="n">
        <f aca="false">IF(Datasheets!$B$7=0,"",ROUNDUP(D32/Datasheets!$B$7,0))</f>
        <v>1</v>
      </c>
    </row>
    <row r="33" customFormat="false" ht="15" hidden="false" customHeight="false" outlineLevel="0" collapsed="false">
      <c r="A33" s="12" t="s">
        <v>25</v>
      </c>
      <c r="B33" s="27" t="n">
        <f aca="false">E24</f>
        <v>6.6</v>
      </c>
      <c r="C33" s="27"/>
      <c r="D33" s="27" t="n">
        <f aca="false">B33/Datasheets!$B$17</f>
        <v>6.94736842105263</v>
      </c>
      <c r="E33" s="28" t="n">
        <f aca="false">IF(Datasheets!$B$7=0,"",ROUNDUP(D33/Datasheets!$B$7,0))</f>
        <v>2</v>
      </c>
    </row>
    <row r="34" customFormat="false" ht="15" hidden="false" customHeight="false" outlineLevel="0" collapsed="false">
      <c r="A34" s="12" t="s">
        <v>26</v>
      </c>
      <c r="B34" s="27" t="n">
        <f aca="false">E27*E28</f>
        <v>43.6</v>
      </c>
      <c r="C34" s="27"/>
      <c r="D34" s="27" t="n">
        <f aca="false">B34/Datasheets!$B$17</f>
        <v>45.8947368421053</v>
      </c>
      <c r="E34" s="28" t="n">
        <f aca="false">IF(Datasheets!$B$7=0,"",ROUNDUP(D34/Datasheets!$B$7,0))</f>
        <v>11</v>
      </c>
    </row>
    <row r="36" customFormat="false" ht="15" hidden="false" customHeight="false" outlineLevel="0" collapsed="false">
      <c r="A36" s="2" t="s">
        <v>95</v>
      </c>
    </row>
  </sheetData>
  <mergeCells count="4">
    <mergeCell ref="B31:C31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5" min="4" style="0" width="18"/>
    <col collapsed="false" customWidth="true" hidden="false" outlineLevel="0" max="6" min="6" style="0" width="3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0" t="s">
        <v>98</v>
      </c>
      <c r="B4" s="29" t="n">
        <v>6</v>
      </c>
      <c r="C4" s="2" t="s">
        <v>99</v>
      </c>
    </row>
    <row r="5" customFormat="false" ht="15" hidden="false" customHeight="false" outlineLevel="0" collapsed="false">
      <c r="A5" s="0" t="s">
        <v>100</v>
      </c>
      <c r="B5" s="30" t="n">
        <f aca="false">B4*1000/Datasheets!$B$8</f>
        <v>125</v>
      </c>
    </row>
    <row r="6" customFormat="false" ht="15" hidden="false" customHeight="false" outlineLevel="0" collapsed="false">
      <c r="A6" s="0" t="s">
        <v>101</v>
      </c>
      <c r="B6" s="28" t="n">
        <f aca="false">ROUNDUP(B5/Datasheets!$B$9,0)</f>
        <v>3</v>
      </c>
    </row>
    <row r="7" customFormat="false" ht="15" hidden="false" customHeight="false" outlineLevel="0" collapsed="false">
      <c r="A7" s="0" t="s">
        <v>102</v>
      </c>
      <c r="B7" s="31" t="n">
        <f aca="false">ROUNDUP(B5/Datasheets!$B$10,0)</f>
        <v>2</v>
      </c>
    </row>
    <row r="8" customFormat="false" ht="15" hidden="false" customHeight="false" outlineLevel="0" collapsed="false">
      <c r="A8" s="0" t="s">
        <v>103</v>
      </c>
      <c r="B8" s="32" t="n">
        <f aca="false">MIN(Datasheets!$B$15*1000/Datasheets!$B$8,Datasheets!$B$16)</f>
        <v>250</v>
      </c>
    </row>
    <row r="9" customFormat="false" ht="15" hidden="false" customHeight="false" outlineLevel="0" collapsed="false">
      <c r="A9" s="0" t="s">
        <v>104</v>
      </c>
      <c r="B9" s="33" t="n">
        <f aca="false">ROUNDUP(B8/Datasheets!$B$9,0)</f>
        <v>5</v>
      </c>
      <c r="C9" s="2" t="s">
        <v>105</v>
      </c>
    </row>
    <row r="11" customFormat="false" ht="43.5" hidden="false" customHeight="true" outlineLevel="0" collapsed="false">
      <c r="A11" s="17" t="s">
        <v>106</v>
      </c>
      <c r="B11" s="17" t="s">
        <v>107</v>
      </c>
      <c r="C11" s="17" t="s">
        <v>108</v>
      </c>
      <c r="D11" s="17" t="s">
        <v>109</v>
      </c>
      <c r="E11" s="17" t="s">
        <v>110</v>
      </c>
    </row>
    <row r="12" customFormat="false" ht="15" hidden="false" customHeight="false" outlineLevel="0" collapsed="false">
      <c r="A12" s="34" t="n">
        <v>1</v>
      </c>
      <c r="B12" s="27" t="n">
        <f aca="false">MIN(A12*Datasheets!$B$9,Datasheets!$B$16)*Datasheets!$B$8/1000</f>
        <v>2.4</v>
      </c>
      <c r="C12" s="27" t="n">
        <f aca="false">MIN(A12*Datasheets!$B$10,Datasheets!$B$16)*Datasheets!$B$8/1000</f>
        <v>4.8</v>
      </c>
      <c r="D12" s="35" t="n">
        <f aca="false">IF(Datasheets!$B$15=0,"",MIN(1,B12/Datasheets!$B$15))</f>
        <v>0.2</v>
      </c>
      <c r="E12" s="27" t="n">
        <f aca="false">B12</f>
        <v>2.4</v>
      </c>
    </row>
    <row r="13" customFormat="false" ht="15" hidden="false" customHeight="false" outlineLevel="0" collapsed="false">
      <c r="A13" s="34" t="n">
        <v>2</v>
      </c>
      <c r="B13" s="27" t="n">
        <f aca="false">MIN(A13*Datasheets!$B$9,Datasheets!$B$16)*Datasheets!$B$8/1000</f>
        <v>4.8</v>
      </c>
      <c r="C13" s="27" t="n">
        <f aca="false">MIN(A13*Datasheets!$B$10,Datasheets!$B$16)*Datasheets!$B$8/1000</f>
        <v>9.6</v>
      </c>
      <c r="D13" s="35" t="n">
        <f aca="false">IF(Datasheets!$B$15=0,"",MIN(1,B13/Datasheets!$B$15))</f>
        <v>0.4</v>
      </c>
      <c r="E13" s="27" t="n">
        <f aca="false">B13</f>
        <v>4.8</v>
      </c>
    </row>
    <row r="14" customFormat="false" ht="15" hidden="false" customHeight="false" outlineLevel="0" collapsed="false">
      <c r="A14" s="34" t="n">
        <v>3</v>
      </c>
      <c r="B14" s="27" t="n">
        <f aca="false">MIN(A14*Datasheets!$B$9,Datasheets!$B$16)*Datasheets!$B$8/1000</f>
        <v>7.2</v>
      </c>
      <c r="C14" s="27" t="n">
        <f aca="false">MIN(A14*Datasheets!$B$10,Datasheets!$B$16)*Datasheets!$B$8/1000</f>
        <v>12</v>
      </c>
      <c r="D14" s="35" t="n">
        <f aca="false">IF(Datasheets!$B$15=0,"",MIN(1,B14/Datasheets!$B$15))</f>
        <v>0.6</v>
      </c>
      <c r="E14" s="27" t="n">
        <f aca="false">B14</f>
        <v>7.2</v>
      </c>
    </row>
    <row r="15" customFormat="false" ht="15" hidden="false" customHeight="false" outlineLevel="0" collapsed="false">
      <c r="A15" s="34" t="n">
        <v>4</v>
      </c>
      <c r="B15" s="27" t="n">
        <f aca="false">MIN(A15*Datasheets!$B$9,Datasheets!$B$16)*Datasheets!$B$8/1000</f>
        <v>9.6</v>
      </c>
      <c r="C15" s="27" t="n">
        <f aca="false">MIN(A15*Datasheets!$B$10,Datasheets!$B$16)*Datasheets!$B$8/1000</f>
        <v>12</v>
      </c>
      <c r="D15" s="35" t="n">
        <f aca="false">IF(Datasheets!$B$15=0,"",MIN(1,B15/Datasheets!$B$15))</f>
        <v>0.8</v>
      </c>
      <c r="E15" s="27" t="n">
        <f aca="false">B15</f>
        <v>9.6</v>
      </c>
    </row>
    <row r="16" customFormat="false" ht="15" hidden="false" customHeight="false" outlineLevel="0" collapsed="false">
      <c r="A16" s="34" t="n">
        <v>5</v>
      </c>
      <c r="B16" s="27" t="n">
        <f aca="false">MIN(A16*Datasheets!$B$9,Datasheets!$B$16)*Datasheets!$B$8/1000</f>
        <v>12</v>
      </c>
      <c r="C16" s="27" t="n">
        <f aca="false">MIN(A16*Datasheets!$B$10,Datasheets!$B$16)*Datasheets!$B$8/1000</f>
        <v>12</v>
      </c>
      <c r="D16" s="35" t="n">
        <f aca="false">IF(Datasheets!$B$15=0,"",MIN(1,B16/Datasheets!$B$15))</f>
        <v>1</v>
      </c>
      <c r="E16" s="27" t="n">
        <f aca="false">B16</f>
        <v>12</v>
      </c>
    </row>
    <row r="17" customFormat="false" ht="15" hidden="false" customHeight="false" outlineLevel="0" collapsed="false">
      <c r="A17" s="34" t="n">
        <v>6</v>
      </c>
      <c r="B17" s="27" t="n">
        <f aca="false">MIN(A17*Datasheets!$B$9,Datasheets!$B$16)*Datasheets!$B$8/1000</f>
        <v>12</v>
      </c>
      <c r="C17" s="27" t="n">
        <f aca="false">MIN(A17*Datasheets!$B$10,Datasheets!$B$16)*Datasheets!$B$8/1000</f>
        <v>12</v>
      </c>
      <c r="D17" s="35" t="n">
        <f aca="false">IF(Datasheets!$B$15=0,"",MIN(1,B17/Datasheets!$B$15))</f>
        <v>1</v>
      </c>
      <c r="E17" s="27" t="n">
        <f aca="false">B17</f>
        <v>12</v>
      </c>
    </row>
    <row r="18" customFormat="false" ht="15" hidden="false" customHeight="false" outlineLevel="0" collapsed="false">
      <c r="A18" s="34" t="n">
        <v>7</v>
      </c>
      <c r="B18" s="27" t="n">
        <f aca="false">MIN(A18*Datasheets!$B$9,Datasheets!$B$16)*Datasheets!$B$8/1000</f>
        <v>12</v>
      </c>
      <c r="C18" s="27" t="n">
        <f aca="false">MIN(A18*Datasheets!$B$10,Datasheets!$B$16)*Datasheets!$B$8/1000</f>
        <v>12</v>
      </c>
      <c r="D18" s="35" t="n">
        <f aca="false">IF(Datasheets!$B$15=0,"",MIN(1,B18/Datasheets!$B$15))</f>
        <v>1</v>
      </c>
      <c r="E18" s="27" t="n">
        <f aca="false">B18</f>
        <v>12</v>
      </c>
    </row>
    <row r="19" customFormat="false" ht="15" hidden="false" customHeight="false" outlineLevel="0" collapsed="false">
      <c r="A19" s="34" t="n">
        <v>8</v>
      </c>
      <c r="B19" s="27" t="n">
        <f aca="false">MIN(A19*Datasheets!$B$9,Datasheets!$B$16)*Datasheets!$B$8/1000</f>
        <v>12</v>
      </c>
      <c r="C19" s="27" t="n">
        <f aca="false">MIN(A19*Datasheets!$B$10,Datasheets!$B$16)*Datasheets!$B$8/1000</f>
        <v>12</v>
      </c>
      <c r="D19" s="35" t="n">
        <f aca="false">IF(Datasheets!$B$15=0,"",MIN(1,B19/Datasheets!$B$15))</f>
        <v>1</v>
      </c>
      <c r="E19" s="27" t="n">
        <f aca="false">B19</f>
        <v>12</v>
      </c>
    </row>
    <row r="20" customFormat="false" ht="15" hidden="false" customHeight="false" outlineLevel="0" collapsed="false">
      <c r="A20" s="34" t="n">
        <v>9</v>
      </c>
      <c r="B20" s="27" t="n">
        <f aca="false">MIN(A20*Datasheets!$B$9,Datasheets!$B$16)*Datasheets!$B$8/1000</f>
        <v>12</v>
      </c>
      <c r="C20" s="27" t="n">
        <f aca="false">MIN(A20*Datasheets!$B$10,Datasheets!$B$16)*Datasheets!$B$8/1000</f>
        <v>12</v>
      </c>
      <c r="D20" s="35" t="n">
        <f aca="false">IF(Datasheets!$B$15=0,"",MIN(1,B20/Datasheets!$B$15))</f>
        <v>1</v>
      </c>
      <c r="E20" s="27" t="n">
        <f aca="false">B20</f>
        <v>12</v>
      </c>
    </row>
    <row r="21" customFormat="false" ht="15" hidden="false" customHeight="false" outlineLevel="0" collapsed="false">
      <c r="A21" s="34" t="n">
        <v>10</v>
      </c>
      <c r="B21" s="27" t="n">
        <f aca="false">MIN(A21*Datasheets!$B$9,Datasheets!$B$16)*Datasheets!$B$8/1000</f>
        <v>12</v>
      </c>
      <c r="C21" s="27" t="n">
        <f aca="false">MIN(A21*Datasheets!$B$10,Datasheets!$B$16)*Datasheets!$B$8/1000</f>
        <v>12</v>
      </c>
      <c r="D21" s="35" t="n">
        <f aca="false">IF(Datasheets!$B$15=0,"",MIN(1,B21/Datasheets!$B$15))</f>
        <v>1</v>
      </c>
      <c r="E21" s="27" t="n">
        <f aca="false">B21</f>
        <v>12</v>
      </c>
    </row>
    <row r="22" customFormat="false" ht="15" hidden="false" customHeight="false" outlineLevel="0" collapsed="false">
      <c r="A22" s="34" t="n">
        <v>11</v>
      </c>
      <c r="B22" s="27" t="n">
        <f aca="false">MIN(A22*Datasheets!$B$9,Datasheets!$B$16)*Datasheets!$B$8/1000</f>
        <v>12</v>
      </c>
      <c r="C22" s="27" t="n">
        <f aca="false">MIN(A22*Datasheets!$B$10,Datasheets!$B$16)*Datasheets!$B$8/1000</f>
        <v>12</v>
      </c>
      <c r="D22" s="35" t="n">
        <f aca="false">IF(Datasheets!$B$15=0,"",MIN(1,B22/Datasheets!$B$15))</f>
        <v>1</v>
      </c>
      <c r="E22" s="27" t="n">
        <f aca="false">B22</f>
        <v>12</v>
      </c>
    </row>
    <row r="23" customFormat="false" ht="15" hidden="false" customHeight="false" outlineLevel="0" collapsed="false">
      <c r="A23" s="34" t="n">
        <v>12</v>
      </c>
      <c r="B23" s="27" t="n">
        <f aca="false">MIN(A23*Datasheets!$B$9,Datasheets!$B$16)*Datasheets!$B$8/1000</f>
        <v>12</v>
      </c>
      <c r="C23" s="27" t="n">
        <f aca="false">MIN(A23*Datasheets!$B$10,Datasheets!$B$16)*Datasheets!$B$8/1000</f>
        <v>12</v>
      </c>
      <c r="D23" s="35" t="n">
        <f aca="false">IF(Datasheets!$B$15=0,"",MIN(1,B23/Datasheets!$B$15))</f>
        <v>1</v>
      </c>
      <c r="E23" s="27" t="n">
        <f aca="false">B23</f>
        <v>12</v>
      </c>
    </row>
    <row r="24" customFormat="false" ht="15" hidden="false" customHeight="false" outlineLevel="0" collapsed="false">
      <c r="A24" s="34" t="n">
        <v>13</v>
      </c>
      <c r="B24" s="27" t="n">
        <f aca="false">MIN(A24*Datasheets!$B$9,Datasheets!$B$16)*Datasheets!$B$8/1000</f>
        <v>12</v>
      </c>
      <c r="C24" s="27" t="n">
        <f aca="false">MIN(A24*Datasheets!$B$10,Datasheets!$B$16)*Datasheets!$B$8/1000</f>
        <v>12</v>
      </c>
      <c r="D24" s="35" t="n">
        <f aca="false">IF(Datasheets!$B$15=0,"",MIN(1,B24/Datasheets!$B$15))</f>
        <v>1</v>
      </c>
      <c r="E24" s="27" t="n">
        <f aca="false">B24</f>
        <v>12</v>
      </c>
    </row>
    <row r="25" customFormat="false" ht="15" hidden="false" customHeight="false" outlineLevel="0" collapsed="false">
      <c r="A25" s="34" t="n">
        <v>14</v>
      </c>
      <c r="B25" s="27" t="n">
        <f aca="false">MIN(A25*Datasheets!$B$9,Datasheets!$B$16)*Datasheets!$B$8/1000</f>
        <v>12</v>
      </c>
      <c r="C25" s="27" t="n">
        <f aca="false">MIN(A25*Datasheets!$B$10,Datasheets!$B$16)*Datasheets!$B$8/1000</f>
        <v>12</v>
      </c>
      <c r="D25" s="35" t="n">
        <f aca="false">IF(Datasheets!$B$15=0,"",MIN(1,B25/Datasheets!$B$15))</f>
        <v>1</v>
      </c>
      <c r="E25" s="27" t="n">
        <f aca="false">B25</f>
        <v>12</v>
      </c>
    </row>
    <row r="26" customFormat="false" ht="15" hidden="false" customHeight="false" outlineLevel="0" collapsed="false">
      <c r="A26" s="34" t="n">
        <v>15</v>
      </c>
      <c r="B26" s="27" t="n">
        <f aca="false">MIN(A26*Datasheets!$B$9,Datasheets!$B$16)*Datasheets!$B$8/1000</f>
        <v>12</v>
      </c>
      <c r="C26" s="27" t="n">
        <f aca="false">MIN(A26*Datasheets!$B$10,Datasheets!$B$16)*Datasheets!$B$8/1000</f>
        <v>12</v>
      </c>
      <c r="D26" s="35" t="n">
        <f aca="false">IF(Datasheets!$B$15=0,"",MIN(1,B26/Datasheets!$B$15))</f>
        <v>1</v>
      </c>
      <c r="E26" s="27" t="n">
        <f aca="false">B26</f>
        <v>12</v>
      </c>
    </row>
    <row r="27" customFormat="false" ht="15" hidden="false" customHeight="false" outlineLevel="0" collapsed="false">
      <c r="A27" s="34" t="n">
        <v>16</v>
      </c>
      <c r="B27" s="27" t="n">
        <f aca="false">MIN(A27*Datasheets!$B$9,Datasheets!$B$16)*Datasheets!$B$8/1000</f>
        <v>12</v>
      </c>
      <c r="C27" s="27" t="n">
        <f aca="false">MIN(A27*Datasheets!$B$10,Datasheets!$B$16)*Datasheets!$B$8/1000</f>
        <v>12</v>
      </c>
      <c r="D27" s="35" t="n">
        <f aca="false">IF(Datasheets!$B$15=0,"",MIN(1,B27/Datasheets!$B$15))</f>
        <v>1</v>
      </c>
      <c r="E27" s="27" t="n">
        <f aca="false">B27</f>
        <v>12</v>
      </c>
    </row>
    <row r="29" customFormat="false" ht="15" hidden="false" customHeight="false" outlineLevel="0" collapsed="false">
      <c r="A29" s="2" t="s">
        <v>111</v>
      </c>
    </row>
    <row r="30" customFormat="false" ht="15" hidden="false" customHeight="false" outlineLevel="0" collapsed="false">
      <c r="A30" s="2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2026-10-15T06:05:06Z</dcterms:created>
  <dc:creator>openpyxl</dc:creator>
  <dc:description/>
  <dc:language>en-US</dc:language>
  <cp:lastModifiedBy/>
  <dcterms:modified xsi:type="dcterms:W3CDTF">2026-10-15T08:05:09Z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